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omments40.xml" ContentType="application/vnd.openxmlformats-officedocument.spreadsheetml.comments+xml"/>
  <Override PartName="/xl/comments41.xml" ContentType="application/vnd.openxmlformats-officedocument.spreadsheetml.comments+xml"/>
  <Override PartName="/xl/comments42.xml" ContentType="application/vnd.openxmlformats-officedocument.spreadsheetml.comments+xml"/>
  <Override PartName="/xl/comments43.xml" ContentType="application/vnd.openxmlformats-officedocument.spreadsheetml.comments+xml"/>
  <Override PartName="/xl/comments44.xml" ContentType="application/vnd.openxmlformats-officedocument.spreadsheetml.comments+xml"/>
  <Override PartName="/xl/comments45.xml" ContentType="application/vnd.openxmlformats-officedocument.spreadsheetml.comments+xml"/>
  <Override PartName="/xl/comments46.xml" ContentType="application/vnd.openxmlformats-officedocument.spreadsheetml.comments+xml"/>
  <Override PartName="/xl/comments47.xml" ContentType="application/vnd.openxmlformats-officedocument.spreadsheetml.comments+xml"/>
  <Override PartName="/xl/comments48.xml" ContentType="application/vnd.openxmlformats-officedocument.spreadsheetml.comments+xml"/>
  <Override PartName="/xl/comments49.xml" ContentType="application/vnd.openxmlformats-officedocument.spreadsheetml.comments+xml"/>
  <Override PartName="/xl/comments50.xml" ContentType="application/vnd.openxmlformats-officedocument.spreadsheetml.comments+xml"/>
  <Override PartName="/xl/comments51.xml" ContentType="application/vnd.openxmlformats-officedocument.spreadsheetml.comments+xml"/>
  <Override PartName="/xl/comments52.xml" ContentType="application/vnd.openxmlformats-officedocument.spreadsheetml.comments+xml"/>
  <Override PartName="/xl/comments53.xml" ContentType="application/vnd.openxmlformats-officedocument.spreadsheetml.comments+xml"/>
  <Override PartName="/xl/comments54.xml" ContentType="application/vnd.openxmlformats-officedocument.spreadsheetml.comments+xml"/>
  <Override PartName="/xl/comments55.xml" ContentType="application/vnd.openxmlformats-officedocument.spreadsheetml.comments+xml"/>
  <Override PartName="/xl/comments56.xml" ContentType="application/vnd.openxmlformats-officedocument.spreadsheetml.comments+xml"/>
  <Override PartName="/xl/comments57.xml" ContentType="application/vnd.openxmlformats-officedocument.spreadsheetml.comments+xml"/>
  <Override PartName="/xl/comments5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rah\Desktop\Board Meeting Info\2024 Meetings\September 2024\"/>
    </mc:Choice>
  </mc:AlternateContent>
  <xr:revisionPtr revIDLastSave="0" documentId="13_ncr:1_{FB953319-C2AF-475A-BAB4-A5A57699B2B9}" xr6:coauthVersionLast="36" xr6:coauthVersionMax="46" xr10:uidLastSave="{00000000-0000-0000-0000-000000000000}"/>
  <bookViews>
    <workbookView xWindow="-28920" yWindow="-120" windowWidth="29040" windowHeight="15840" firstSheet="54" activeTab="57" xr2:uid="{00000000-000D-0000-FFFF-FFFF00000000}"/>
  </bookViews>
  <sheets>
    <sheet name="May 2020 (2)" sheetId="34" r:id="rId1"/>
    <sheet name="December 2019" sheetId="15" r:id="rId2"/>
    <sheet name="January 2020" sheetId="27" r:id="rId3"/>
    <sheet name="February 2020" sheetId="28" r:id="rId4"/>
    <sheet name="March 2020" sheetId="29" r:id="rId5"/>
    <sheet name="April 2020" sheetId="32" r:id="rId6"/>
    <sheet name="May 2020" sheetId="33" r:id="rId7"/>
    <sheet name="June 2020" sheetId="35" r:id="rId8"/>
    <sheet name="July 2020" sheetId="36" r:id="rId9"/>
    <sheet name="August 2020" sheetId="38" r:id="rId10"/>
    <sheet name="September 2020" sheetId="39" r:id="rId11"/>
    <sheet name="October 2020" sheetId="40" r:id="rId12"/>
    <sheet name="November 2020" sheetId="45" r:id="rId13"/>
    <sheet name="December 2020" sheetId="42" r:id="rId14"/>
    <sheet name="January 2021" sheetId="43" r:id="rId15"/>
    <sheet name="February 2021" sheetId="44" r:id="rId16"/>
    <sheet name="March 2021" sheetId="46" r:id="rId17"/>
    <sheet name="April 2021" sheetId="47" r:id="rId18"/>
    <sheet name="May 2021" sheetId="48" r:id="rId19"/>
    <sheet name="June 2021" sheetId="49" r:id="rId20"/>
    <sheet name="July 2021" sheetId="50" r:id="rId21"/>
    <sheet name="August 2021" sheetId="51" r:id="rId22"/>
    <sheet name="September 2021" sheetId="52" r:id="rId23"/>
    <sheet name="October 2021" sheetId="53" r:id="rId24"/>
    <sheet name="November 2021" sheetId="54" r:id="rId25"/>
    <sheet name="December 2021" sheetId="55" r:id="rId26"/>
    <sheet name="January 2022" sheetId="56" r:id="rId27"/>
    <sheet name="February 2022" sheetId="57" r:id="rId28"/>
    <sheet name="March 2022" sheetId="58" r:id="rId29"/>
    <sheet name="April 2022" sheetId="59" r:id="rId30"/>
    <sheet name="May 2022" sheetId="60" r:id="rId31"/>
    <sheet name="June 2022" sheetId="61" r:id="rId32"/>
    <sheet name="July 2022" sheetId="62" r:id="rId33"/>
    <sheet name="August 2022" sheetId="63" r:id="rId34"/>
    <sheet name="September 2022" sheetId="64" r:id="rId35"/>
    <sheet name="October 2022" sheetId="65" r:id="rId36"/>
    <sheet name="November 2022" sheetId="66" r:id="rId37"/>
    <sheet name="December 2022" sheetId="67" r:id="rId38"/>
    <sheet name="January 2023" sheetId="68" r:id="rId39"/>
    <sheet name="February 2023" sheetId="69" r:id="rId40"/>
    <sheet name="March 2023" sheetId="70" r:id="rId41"/>
    <sheet name="April 2023" sheetId="71" r:id="rId42"/>
    <sheet name="May 2023" sheetId="73" r:id="rId43"/>
    <sheet name="June 2023" sheetId="75" r:id="rId44"/>
    <sheet name="July 2023" sheetId="76" r:id="rId45"/>
    <sheet name="August 2023" sheetId="77" r:id="rId46"/>
    <sheet name="September 2023" sheetId="79" r:id="rId47"/>
    <sheet name="October 2023" sheetId="80" r:id="rId48"/>
    <sheet name="November 2023" sheetId="81" r:id="rId49"/>
    <sheet name="December 2023" sheetId="82" r:id="rId50"/>
    <sheet name="January 2024" sheetId="83" r:id="rId51"/>
    <sheet name="February 2024" sheetId="84" r:id="rId52"/>
    <sheet name="March 2024" sheetId="85" r:id="rId53"/>
    <sheet name="April 2024" sheetId="86" r:id="rId54"/>
    <sheet name="May 2024" sheetId="87" r:id="rId55"/>
    <sheet name="June 2024" sheetId="88" r:id="rId56"/>
    <sheet name="July 2024" sheetId="89" r:id="rId57"/>
    <sheet name="August 2024" sheetId="90" r:id="rId58"/>
  </sheets>
  <externalReferences>
    <externalReference r:id="rId59"/>
  </externalReferences>
  <definedNames>
    <definedName name="_xlnm.Print_Area" localSheetId="1">'December 2019'!$B$2:$H$47</definedName>
    <definedName name="_xlnm.Print_Area" localSheetId="2">'January 2020'!$J$38:$L$48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90" l="1"/>
  <c r="E7" i="90"/>
  <c r="D7" i="90"/>
  <c r="E8" i="90"/>
  <c r="E14" i="90"/>
  <c r="E21" i="90" l="1"/>
  <c r="E24" i="90"/>
  <c r="E30" i="90"/>
  <c r="E34" i="90"/>
  <c r="E54" i="90" l="1"/>
  <c r="E41" i="90" l="1"/>
  <c r="C25" i="90"/>
  <c r="C49" i="90"/>
  <c r="C50" i="90"/>
  <c r="C51" i="90"/>
  <c r="C52" i="90"/>
  <c r="C53" i="90"/>
  <c r="C54" i="90"/>
  <c r="C48" i="90"/>
  <c r="C37" i="90"/>
  <c r="C38" i="90"/>
  <c r="C39" i="90"/>
  <c r="C40" i="90"/>
  <c r="C41" i="90"/>
  <c r="C42" i="90"/>
  <c r="C36" i="90"/>
  <c r="C35" i="90" s="1"/>
  <c r="C31" i="90"/>
  <c r="C32" i="90"/>
  <c r="C33" i="90"/>
  <c r="C34" i="90"/>
  <c r="C30" i="90"/>
  <c r="C21" i="90"/>
  <c r="C22" i="90"/>
  <c r="C23" i="90"/>
  <c r="C24" i="90"/>
  <c r="C26" i="90"/>
  <c r="C27" i="90"/>
  <c r="C28" i="90"/>
  <c r="C29" i="90"/>
  <c r="C20" i="90"/>
  <c r="C9" i="90"/>
  <c r="C10" i="90"/>
  <c r="C11" i="90"/>
  <c r="C12" i="90"/>
  <c r="C13" i="90"/>
  <c r="C14" i="90"/>
  <c r="C15" i="90"/>
  <c r="C16" i="90"/>
  <c r="C17" i="90"/>
  <c r="C18" i="90"/>
  <c r="C7" i="90"/>
  <c r="D55" i="90" l="1"/>
  <c r="F54" i="90"/>
  <c r="E55" i="90"/>
  <c r="F53" i="90"/>
  <c r="F52" i="90"/>
  <c r="F51" i="90"/>
  <c r="F50" i="90"/>
  <c r="F49" i="90"/>
  <c r="F48" i="90"/>
  <c r="F45" i="90"/>
  <c r="E45" i="90"/>
  <c r="D45" i="90"/>
  <c r="C45" i="90"/>
  <c r="G43" i="90"/>
  <c r="F42" i="90"/>
  <c r="F41" i="90"/>
  <c r="F40" i="90"/>
  <c r="F39" i="90"/>
  <c r="F38" i="90"/>
  <c r="F37" i="90"/>
  <c r="E35" i="90"/>
  <c r="G35" i="90"/>
  <c r="D35" i="90"/>
  <c r="F34" i="90"/>
  <c r="F33" i="90"/>
  <c r="F32" i="90"/>
  <c r="F31" i="90"/>
  <c r="F30" i="90"/>
  <c r="F29" i="90"/>
  <c r="F28" i="90"/>
  <c r="F27" i="90"/>
  <c r="E25" i="90"/>
  <c r="D25" i="90"/>
  <c r="F24" i="90"/>
  <c r="F22" i="90"/>
  <c r="F21" i="90"/>
  <c r="F20" i="90"/>
  <c r="G19" i="90"/>
  <c r="E19" i="90"/>
  <c r="D19" i="90"/>
  <c r="F18" i="90"/>
  <c r="F17" i="90"/>
  <c r="F16" i="90"/>
  <c r="F15" i="90"/>
  <c r="F14" i="90"/>
  <c r="F13" i="90"/>
  <c r="F12" i="90"/>
  <c r="F11" i="90"/>
  <c r="F10" i="90"/>
  <c r="F9" i="90"/>
  <c r="F7" i="90"/>
  <c r="E6" i="90"/>
  <c r="G6" i="90"/>
  <c r="D6" i="90"/>
  <c r="F25" i="90" l="1"/>
  <c r="D43" i="90"/>
  <c r="F19" i="90"/>
  <c r="E43" i="90"/>
  <c r="C55" i="90"/>
  <c r="F55" i="90" s="1"/>
  <c r="C19" i="90"/>
  <c r="F26" i="90"/>
  <c r="F36" i="90"/>
  <c r="F35" i="90" s="1"/>
  <c r="C44" i="90" l="1"/>
  <c r="E7" i="89"/>
  <c r="E8" i="89"/>
  <c r="E21" i="89"/>
  <c r="E54" i="89" l="1"/>
  <c r="E36" i="89" l="1"/>
  <c r="F17" i="89" l="1"/>
  <c r="C49" i="89" l="1"/>
  <c r="C50" i="89"/>
  <c r="F50" i="89" s="1"/>
  <c r="C51" i="89"/>
  <c r="F51" i="89" s="1"/>
  <c r="C52" i="89"/>
  <c r="C53" i="89"/>
  <c r="C54" i="89"/>
  <c r="F54" i="89" s="1"/>
  <c r="C48" i="89"/>
  <c r="F48" i="89" s="1"/>
  <c r="E35" i="89"/>
  <c r="C37" i="89"/>
  <c r="C38" i="89"/>
  <c r="C39" i="89"/>
  <c r="C40" i="89"/>
  <c r="C41" i="89"/>
  <c r="C42" i="89"/>
  <c r="F42" i="89" s="1"/>
  <c r="C36" i="89"/>
  <c r="C31" i="89"/>
  <c r="F31" i="89" s="1"/>
  <c r="C32" i="89"/>
  <c r="C33" i="89"/>
  <c r="C34" i="89"/>
  <c r="C30" i="89"/>
  <c r="F30" i="89" s="1"/>
  <c r="C21" i="89"/>
  <c r="F21" i="89" s="1"/>
  <c r="C22" i="89"/>
  <c r="F22" i="89" s="1"/>
  <c r="C23" i="89"/>
  <c r="C24" i="89"/>
  <c r="C20" i="89"/>
  <c r="F20" i="89" s="1"/>
  <c r="C8" i="89"/>
  <c r="C9" i="89"/>
  <c r="C10" i="89"/>
  <c r="F10" i="89" s="1"/>
  <c r="C11" i="89"/>
  <c r="F11" i="89" s="1"/>
  <c r="C12" i="89"/>
  <c r="F12" i="89" s="1"/>
  <c r="C13" i="89"/>
  <c r="C14" i="89"/>
  <c r="F14" i="89" s="1"/>
  <c r="C15" i="89"/>
  <c r="F15" i="89" s="1"/>
  <c r="C16" i="89"/>
  <c r="C18" i="89"/>
  <c r="F18" i="89" s="1"/>
  <c r="C7" i="89"/>
  <c r="E55" i="89"/>
  <c r="D55" i="89"/>
  <c r="F53" i="89"/>
  <c r="F52" i="89"/>
  <c r="F49" i="89"/>
  <c r="F45" i="89"/>
  <c r="E45" i="89"/>
  <c r="D45" i="89"/>
  <c r="C45" i="89"/>
  <c r="F41" i="89"/>
  <c r="F40" i="89"/>
  <c r="F39" i="89"/>
  <c r="F38" i="89"/>
  <c r="F37" i="89"/>
  <c r="G35" i="89"/>
  <c r="D35" i="89"/>
  <c r="F34" i="89"/>
  <c r="F33" i="89"/>
  <c r="F32" i="89"/>
  <c r="C29" i="89"/>
  <c r="F29" i="89" s="1"/>
  <c r="C28" i="89"/>
  <c r="F28" i="89" s="1"/>
  <c r="F27" i="89"/>
  <c r="C27" i="89"/>
  <c r="C26" i="89"/>
  <c r="F26" i="89" s="1"/>
  <c r="E25" i="89"/>
  <c r="D25" i="89"/>
  <c r="F24" i="89"/>
  <c r="E19" i="89"/>
  <c r="G19" i="89"/>
  <c r="D19" i="89"/>
  <c r="F16" i="89"/>
  <c r="F13" i="89"/>
  <c r="F9" i="89"/>
  <c r="F8" i="89"/>
  <c r="C8" i="90" s="1"/>
  <c r="E6" i="89"/>
  <c r="D6" i="89"/>
  <c r="G6" i="89"/>
  <c r="G43" i="89" s="1"/>
  <c r="F8" i="90" l="1"/>
  <c r="F6" i="90" s="1"/>
  <c r="F43" i="90" s="1"/>
  <c r="F56" i="90" s="1"/>
  <c r="C6" i="90"/>
  <c r="C43" i="90" s="1"/>
  <c r="C56" i="90" s="1"/>
  <c r="C6" i="89"/>
  <c r="C35" i="89"/>
  <c r="C55" i="89"/>
  <c r="F55" i="89" s="1"/>
  <c r="F36" i="89"/>
  <c r="F35" i="89" s="1"/>
  <c r="F19" i="89"/>
  <c r="D43" i="89"/>
  <c r="E43" i="89"/>
  <c r="F25" i="89"/>
  <c r="F7" i="89"/>
  <c r="F6" i="89" s="1"/>
  <c r="F43" i="89" s="1"/>
  <c r="C25" i="89"/>
  <c r="C19" i="89"/>
  <c r="C44" i="89" s="1"/>
  <c r="E7" i="88"/>
  <c r="D7" i="88"/>
  <c r="E12" i="88"/>
  <c r="E8" i="88"/>
  <c r="E20" i="88"/>
  <c r="E53" i="88"/>
  <c r="C43" i="89" l="1"/>
  <c r="C56" i="89" s="1"/>
  <c r="F56" i="89"/>
  <c r="C48" i="88"/>
  <c r="F48" i="88" s="1"/>
  <c r="C49" i="88"/>
  <c r="F49" i="88" s="1"/>
  <c r="C50" i="88"/>
  <c r="C51" i="88"/>
  <c r="C52" i="88"/>
  <c r="C53" i="88"/>
  <c r="C47" i="88"/>
  <c r="C36" i="88"/>
  <c r="C37" i="88"/>
  <c r="F37" i="88" s="1"/>
  <c r="C38" i="88"/>
  <c r="C39" i="88"/>
  <c r="C40" i="88"/>
  <c r="C41" i="88"/>
  <c r="F41" i="88" s="1"/>
  <c r="C35" i="88"/>
  <c r="C30" i="88"/>
  <c r="C31" i="88"/>
  <c r="C32" i="88"/>
  <c r="C33" i="88"/>
  <c r="C29" i="88"/>
  <c r="C20" i="88"/>
  <c r="F20" i="88" s="1"/>
  <c r="C21" i="88"/>
  <c r="F21" i="88" s="1"/>
  <c r="C22" i="88"/>
  <c r="C23" i="88"/>
  <c r="F23" i="88" s="1"/>
  <c r="C19" i="88"/>
  <c r="F19" i="88" s="1"/>
  <c r="C8" i="88"/>
  <c r="C9" i="88"/>
  <c r="F9" i="88" s="1"/>
  <c r="C10" i="88"/>
  <c r="C11" i="88"/>
  <c r="F11" i="88" s="1"/>
  <c r="C12" i="88"/>
  <c r="C13" i="88"/>
  <c r="C14" i="88"/>
  <c r="F14" i="88" s="1"/>
  <c r="C15" i="88"/>
  <c r="C16" i="88"/>
  <c r="C17" i="88"/>
  <c r="F17" i="88" s="1"/>
  <c r="C7" i="88"/>
  <c r="F7" i="88" s="1"/>
  <c r="E54" i="88"/>
  <c r="D54" i="88"/>
  <c r="F53" i="88"/>
  <c r="F52" i="88"/>
  <c r="F51" i="88"/>
  <c r="F50" i="88"/>
  <c r="F44" i="88"/>
  <c r="E44" i="88"/>
  <c r="D44" i="88"/>
  <c r="C44" i="88"/>
  <c r="F40" i="88"/>
  <c r="F39" i="88"/>
  <c r="F38" i="88"/>
  <c r="F36" i="88"/>
  <c r="F35" i="88"/>
  <c r="G34" i="88"/>
  <c r="E34" i="88"/>
  <c r="D34" i="88"/>
  <c r="F33" i="88"/>
  <c r="F32" i="88"/>
  <c r="F31" i="88"/>
  <c r="F30" i="88"/>
  <c r="F29" i="88"/>
  <c r="C28" i="88"/>
  <c r="F28" i="88" s="1"/>
  <c r="C27" i="88"/>
  <c r="F27" i="88" s="1"/>
  <c r="C26" i="88"/>
  <c r="F26" i="88" s="1"/>
  <c r="C25" i="88"/>
  <c r="D24" i="88"/>
  <c r="D18" i="88"/>
  <c r="G18" i="88"/>
  <c r="E18" i="88"/>
  <c r="F16" i="88"/>
  <c r="F15" i="88"/>
  <c r="F13" i="88"/>
  <c r="F12" i="88"/>
  <c r="F10" i="88"/>
  <c r="F8" i="88"/>
  <c r="D6" i="88"/>
  <c r="G6" i="88"/>
  <c r="G42" i="88" s="1"/>
  <c r="E6" i="88"/>
  <c r="C24" i="88" l="1"/>
  <c r="C34" i="88"/>
  <c r="F25" i="88"/>
  <c r="C54" i="88"/>
  <c r="F54" i="88" s="1"/>
  <c r="F47" i="88"/>
  <c r="F24" i="88"/>
  <c r="F6" i="88"/>
  <c r="F34" i="88"/>
  <c r="D42" i="88"/>
  <c r="F18" i="88"/>
  <c r="C18" i="88"/>
  <c r="C43" i="88" s="1"/>
  <c r="C6" i="88"/>
  <c r="E24" i="88"/>
  <c r="E42" i="88" s="1"/>
  <c r="E7" i="87"/>
  <c r="F19" i="87"/>
  <c r="F42" i="88" l="1"/>
  <c r="F55" i="88" s="1"/>
  <c r="C42" i="88"/>
  <c r="C55" i="88" s="1"/>
  <c r="D19" i="87"/>
  <c r="I24" i="87"/>
  <c r="E12" i="87"/>
  <c r="E29" i="87"/>
  <c r="E53" i="87"/>
  <c r="E8" i="87"/>
  <c r="D7" i="87" l="1"/>
  <c r="C48" i="87"/>
  <c r="C49" i="87"/>
  <c r="C50" i="87"/>
  <c r="C51" i="87"/>
  <c r="C52" i="87"/>
  <c r="C53" i="87"/>
  <c r="C47" i="87"/>
  <c r="C54" i="87" s="1"/>
  <c r="C36" i="87"/>
  <c r="F36" i="87" s="1"/>
  <c r="C37" i="87"/>
  <c r="C38" i="87"/>
  <c r="C39" i="87"/>
  <c r="C40" i="87"/>
  <c r="C41" i="87"/>
  <c r="F41" i="87" s="1"/>
  <c r="C35" i="87"/>
  <c r="C30" i="87"/>
  <c r="F30" i="87" s="1"/>
  <c r="C31" i="87"/>
  <c r="F31" i="87" s="1"/>
  <c r="C32" i="87"/>
  <c r="C33" i="87"/>
  <c r="C29" i="87"/>
  <c r="F29" i="87" s="1"/>
  <c r="C20" i="87"/>
  <c r="F20" i="87" s="1"/>
  <c r="C21" i="87"/>
  <c r="F21" i="87" s="1"/>
  <c r="C22" i="87"/>
  <c r="C23" i="87"/>
  <c r="C8" i="87"/>
  <c r="C6" i="87" s="1"/>
  <c r="C9" i="87"/>
  <c r="F9" i="87" s="1"/>
  <c r="C10" i="87"/>
  <c r="F10" i="87" s="1"/>
  <c r="C11" i="87"/>
  <c r="C12" i="87"/>
  <c r="F12" i="87" s="1"/>
  <c r="C13" i="87"/>
  <c r="C14" i="87"/>
  <c r="C15" i="87"/>
  <c r="C16" i="87"/>
  <c r="F16" i="87" s="1"/>
  <c r="C17" i="87"/>
  <c r="F17" i="87" s="1"/>
  <c r="C7" i="87"/>
  <c r="D54" i="87"/>
  <c r="E54" i="87"/>
  <c r="F52" i="87"/>
  <c r="F51" i="87"/>
  <c r="F50" i="87"/>
  <c r="F49" i="87"/>
  <c r="F48" i="87"/>
  <c r="F44" i="87"/>
  <c r="E44" i="87"/>
  <c r="D44" i="87"/>
  <c r="C44" i="87"/>
  <c r="F40" i="87"/>
  <c r="F39" i="87"/>
  <c r="F38" i="87"/>
  <c r="F37" i="87"/>
  <c r="G34" i="87"/>
  <c r="E34" i="87"/>
  <c r="D34" i="87"/>
  <c r="F33" i="87"/>
  <c r="F32" i="87"/>
  <c r="C28" i="87"/>
  <c r="F28" i="87" s="1"/>
  <c r="C27" i="87"/>
  <c r="F27" i="87" s="1"/>
  <c r="F26" i="87"/>
  <c r="C26" i="87"/>
  <c r="C25" i="87"/>
  <c r="F25" i="87" s="1"/>
  <c r="E24" i="87"/>
  <c r="D24" i="87"/>
  <c r="F23" i="87"/>
  <c r="E18" i="87"/>
  <c r="G18" i="87"/>
  <c r="D18" i="87"/>
  <c r="F15" i="87"/>
  <c r="F14" i="87"/>
  <c r="F13" i="87"/>
  <c r="F11" i="87"/>
  <c r="E6" i="87"/>
  <c r="G6" i="87"/>
  <c r="G42" i="87" s="1"/>
  <c r="D6" i="87"/>
  <c r="D42" i="87" l="1"/>
  <c r="F47" i="87"/>
  <c r="E42" i="87"/>
  <c r="C34" i="87"/>
  <c r="C24" i="87"/>
  <c r="F24" i="87"/>
  <c r="F8" i="87"/>
  <c r="F54" i="87"/>
  <c r="F53" i="87"/>
  <c r="F7" i="87"/>
  <c r="F35" i="87"/>
  <c r="F34" i="87" s="1"/>
  <c r="E7" i="86"/>
  <c r="D7" i="86"/>
  <c r="E12" i="86"/>
  <c r="D12" i="86"/>
  <c r="E8" i="86"/>
  <c r="E20" i="86"/>
  <c r="E23" i="86"/>
  <c r="F6" i="87" l="1"/>
  <c r="F8" i="86"/>
  <c r="F50" i="86"/>
  <c r="E53" i="86"/>
  <c r="C54" i="86"/>
  <c r="C36" i="86"/>
  <c r="C37" i="86"/>
  <c r="C38" i="86"/>
  <c r="C39" i="86"/>
  <c r="C40" i="86"/>
  <c r="C41" i="86"/>
  <c r="C35" i="86"/>
  <c r="C30" i="86"/>
  <c r="C31" i="86"/>
  <c r="C32" i="86"/>
  <c r="C33" i="86"/>
  <c r="C29" i="86"/>
  <c r="C20" i="86"/>
  <c r="C21" i="86"/>
  <c r="C22" i="86"/>
  <c r="C23" i="86"/>
  <c r="C19" i="86"/>
  <c r="C8" i="86"/>
  <c r="C9" i="86"/>
  <c r="C10" i="86"/>
  <c r="C11" i="86"/>
  <c r="C12" i="86"/>
  <c r="C13" i="86"/>
  <c r="C14" i="86"/>
  <c r="C15" i="86"/>
  <c r="C16" i="86"/>
  <c r="C17" i="86"/>
  <c r="C7" i="86"/>
  <c r="C48" i="86"/>
  <c r="C49" i="86"/>
  <c r="C50" i="86"/>
  <c r="C51" i="86"/>
  <c r="C52" i="86"/>
  <c r="C53" i="86"/>
  <c r="C47" i="86"/>
  <c r="E54" i="86" l="1"/>
  <c r="D54" i="86"/>
  <c r="F53" i="86"/>
  <c r="F52" i="86"/>
  <c r="F51" i="86"/>
  <c r="F49" i="86"/>
  <c r="F48" i="86"/>
  <c r="F47" i="86"/>
  <c r="F44" i="86"/>
  <c r="E44" i="86"/>
  <c r="D44" i="86"/>
  <c r="C44" i="86"/>
  <c r="F41" i="86"/>
  <c r="F40" i="86"/>
  <c r="F39" i="86"/>
  <c r="F38" i="86"/>
  <c r="F37" i="86"/>
  <c r="F36" i="86"/>
  <c r="F35" i="86"/>
  <c r="G34" i="86"/>
  <c r="E34" i="86"/>
  <c r="D34" i="86"/>
  <c r="C34" i="86"/>
  <c r="F33" i="86"/>
  <c r="F32" i="86"/>
  <c r="F31" i="86"/>
  <c r="F30" i="86"/>
  <c r="F29" i="86"/>
  <c r="C28" i="86"/>
  <c r="F28" i="86" s="1"/>
  <c r="C27" i="86"/>
  <c r="F27" i="86" s="1"/>
  <c r="C26" i="86"/>
  <c r="C24" i="86" s="1"/>
  <c r="C25" i="86"/>
  <c r="F25" i="86" s="1"/>
  <c r="E24" i="86"/>
  <c r="D24" i="86"/>
  <c r="F23" i="86"/>
  <c r="F21" i="86"/>
  <c r="F20" i="86"/>
  <c r="C18" i="86"/>
  <c r="C43" i="86" s="1"/>
  <c r="G18" i="86"/>
  <c r="E18" i="86"/>
  <c r="D18" i="86"/>
  <c r="F17" i="86"/>
  <c r="F16" i="86"/>
  <c r="F15" i="86"/>
  <c r="F14" i="86"/>
  <c r="F13" i="86"/>
  <c r="F12" i="86"/>
  <c r="F11" i="86"/>
  <c r="F10" i="86"/>
  <c r="F9" i="86"/>
  <c r="E6" i="86"/>
  <c r="D6" i="86"/>
  <c r="F7" i="86"/>
  <c r="G6" i="86"/>
  <c r="G42" i="86" s="1"/>
  <c r="F54" i="86" l="1"/>
  <c r="D42" i="86"/>
  <c r="E42" i="86"/>
  <c r="F34" i="86"/>
  <c r="F6" i="86"/>
  <c r="F26" i="86"/>
  <c r="F24" i="86" s="1"/>
  <c r="F19" i="86"/>
  <c r="C6" i="86"/>
  <c r="C42" i="86" s="1"/>
  <c r="C55" i="86" s="1"/>
  <c r="E7" i="85"/>
  <c r="F18" i="86" l="1"/>
  <c r="C19" i="87"/>
  <c r="F42" i="86"/>
  <c r="F55" i="86" s="1"/>
  <c r="F8" i="85"/>
  <c r="E8" i="85"/>
  <c r="D7" i="85"/>
  <c r="E12" i="85"/>
  <c r="D12" i="85"/>
  <c r="C54" i="85"/>
  <c r="D54" i="85"/>
  <c r="E54" i="85"/>
  <c r="E53" i="85"/>
  <c r="F18" i="87" l="1"/>
  <c r="F42" i="87" s="1"/>
  <c r="F55" i="87" s="1"/>
  <c r="C18" i="87"/>
  <c r="C36" i="85"/>
  <c r="C37" i="85"/>
  <c r="C38" i="85"/>
  <c r="C39" i="85"/>
  <c r="C40" i="85"/>
  <c r="C41" i="85"/>
  <c r="C35" i="85"/>
  <c r="C30" i="85"/>
  <c r="C31" i="85"/>
  <c r="C32" i="85"/>
  <c r="C33" i="85"/>
  <c r="C29" i="85"/>
  <c r="C20" i="85"/>
  <c r="C21" i="85"/>
  <c r="C22" i="85"/>
  <c r="C23" i="85"/>
  <c r="C19" i="85"/>
  <c r="C8" i="85"/>
  <c r="C9" i="85"/>
  <c r="C10" i="85"/>
  <c r="C11" i="85"/>
  <c r="C12" i="85"/>
  <c r="C13" i="85"/>
  <c r="C14" i="85"/>
  <c r="C15" i="85"/>
  <c r="C16" i="85"/>
  <c r="C17" i="85"/>
  <c r="C7" i="85"/>
  <c r="C48" i="85"/>
  <c r="C47" i="85"/>
  <c r="C49" i="85"/>
  <c r="C50" i="85"/>
  <c r="C51" i="85"/>
  <c r="C52" i="85"/>
  <c r="C53" i="85"/>
  <c r="C43" i="87" l="1"/>
  <c r="C42" i="87"/>
  <c r="C55" i="87" s="1"/>
  <c r="F52" i="85"/>
  <c r="F51" i="85"/>
  <c r="F50" i="85"/>
  <c r="F49" i="85"/>
  <c r="F48" i="85"/>
  <c r="F47" i="85"/>
  <c r="F44" i="85"/>
  <c r="E44" i="85"/>
  <c r="D44" i="85"/>
  <c r="C44" i="85"/>
  <c r="F41" i="85"/>
  <c r="F40" i="85"/>
  <c r="F39" i="85"/>
  <c r="F38" i="85"/>
  <c r="F37" i="85"/>
  <c r="F36" i="85"/>
  <c r="F35" i="85"/>
  <c r="C34" i="85"/>
  <c r="G34" i="85"/>
  <c r="E34" i="85"/>
  <c r="D34" i="85"/>
  <c r="F33" i="85"/>
  <c r="F32" i="85"/>
  <c r="F31" i="85"/>
  <c r="F30" i="85"/>
  <c r="F29" i="85"/>
  <c r="C28" i="85"/>
  <c r="F28" i="85" s="1"/>
  <c r="C27" i="85"/>
  <c r="F27" i="85" s="1"/>
  <c r="F26" i="85"/>
  <c r="C26" i="85"/>
  <c r="C25" i="85"/>
  <c r="F25" i="85" s="1"/>
  <c r="E24" i="85"/>
  <c r="D24" i="85"/>
  <c r="F23" i="85"/>
  <c r="F21" i="85"/>
  <c r="F20" i="85"/>
  <c r="F19" i="85"/>
  <c r="G18" i="85"/>
  <c r="E18" i="85"/>
  <c r="D18" i="85"/>
  <c r="F17" i="85"/>
  <c r="F16" i="85"/>
  <c r="F15" i="85"/>
  <c r="F14" i="85"/>
  <c r="F13" i="85"/>
  <c r="F12" i="85"/>
  <c r="F11" i="85"/>
  <c r="F10" i="85"/>
  <c r="F9" i="85"/>
  <c r="E6" i="85"/>
  <c r="F7" i="85"/>
  <c r="G6" i="85"/>
  <c r="G42" i="85" s="1"/>
  <c r="D6" i="85"/>
  <c r="C6" i="85"/>
  <c r="F18" i="85" l="1"/>
  <c r="F54" i="85"/>
  <c r="F24" i="85"/>
  <c r="D42" i="85"/>
  <c r="F6" i="85"/>
  <c r="E42" i="85"/>
  <c r="F34" i="85"/>
  <c r="C18" i="85"/>
  <c r="C43" i="85" s="1"/>
  <c r="F53" i="85"/>
  <c r="C24" i="85"/>
  <c r="E7" i="82"/>
  <c r="C42" i="85" l="1"/>
  <c r="C55" i="85" s="1"/>
  <c r="F42" i="85"/>
  <c r="F55" i="85" s="1"/>
  <c r="E7" i="83"/>
  <c r="E7" i="69"/>
  <c r="C39" i="70" l="1"/>
  <c r="F33" i="69"/>
  <c r="E33" i="69"/>
  <c r="C33" i="69"/>
  <c r="F33" i="68"/>
  <c r="C33" i="68"/>
  <c r="F38" i="69"/>
  <c r="C38" i="69"/>
  <c r="F38" i="68"/>
  <c r="E7" i="84" l="1"/>
  <c r="E53" i="84"/>
  <c r="C51" i="84"/>
  <c r="D12" i="84"/>
  <c r="C37" i="84" l="1"/>
  <c r="C40" i="84"/>
  <c r="C17" i="84"/>
  <c r="E54" i="84"/>
  <c r="D54" i="84"/>
  <c r="F51" i="84"/>
  <c r="F44" i="84"/>
  <c r="E44" i="84"/>
  <c r="D44" i="84"/>
  <c r="C44" i="84"/>
  <c r="F40" i="84"/>
  <c r="F37" i="84"/>
  <c r="G34" i="84"/>
  <c r="E34" i="84"/>
  <c r="D34" i="84"/>
  <c r="C26" i="84"/>
  <c r="F26" i="84" s="1"/>
  <c r="F25" i="84"/>
  <c r="C25" i="84"/>
  <c r="E24" i="84"/>
  <c r="D24" i="84"/>
  <c r="G18" i="84"/>
  <c r="E18" i="84"/>
  <c r="D18" i="84"/>
  <c r="F17" i="84"/>
  <c r="D6" i="84"/>
  <c r="G6" i="84"/>
  <c r="G42" i="84" s="1"/>
  <c r="E6" i="84"/>
  <c r="E42" i="84" l="1"/>
  <c r="D42" i="84"/>
  <c r="E36" i="83"/>
  <c r="D7" i="83" l="1"/>
  <c r="D12" i="83"/>
  <c r="E38" i="83"/>
  <c r="E53" i="83"/>
  <c r="C51" i="83" l="1"/>
  <c r="C37" i="83"/>
  <c r="C40" i="83"/>
  <c r="C29" i="83"/>
  <c r="C17" i="83"/>
  <c r="D54" i="83" l="1"/>
  <c r="E54" i="83"/>
  <c r="F51" i="83"/>
  <c r="F44" i="83"/>
  <c r="E44" i="83"/>
  <c r="D44" i="83"/>
  <c r="C44" i="83"/>
  <c r="F40" i="83"/>
  <c r="F37" i="83"/>
  <c r="G34" i="83"/>
  <c r="E34" i="83"/>
  <c r="D34" i="83"/>
  <c r="F29" i="83"/>
  <c r="C29" i="84" s="1"/>
  <c r="C26" i="83"/>
  <c r="F26" i="83" s="1"/>
  <c r="C25" i="83"/>
  <c r="E24" i="83"/>
  <c r="D24" i="83"/>
  <c r="E18" i="83"/>
  <c r="G18" i="83"/>
  <c r="D18" i="83"/>
  <c r="F17" i="83"/>
  <c r="D6" i="83"/>
  <c r="G6" i="83"/>
  <c r="G42" i="83" s="1"/>
  <c r="E6" i="83"/>
  <c r="F29" i="84" l="1"/>
  <c r="E42" i="83"/>
  <c r="D42" i="83"/>
  <c r="F25" i="83"/>
  <c r="D7" i="82"/>
  <c r="E53" i="82"/>
  <c r="F51" i="82"/>
  <c r="E12" i="82" l="1"/>
  <c r="E14" i="82"/>
  <c r="E20" i="82"/>
  <c r="E23" i="82"/>
  <c r="E31" i="82"/>
  <c r="E36" i="82"/>
  <c r="C37" i="82" l="1"/>
  <c r="C40" i="82"/>
  <c r="C17" i="82"/>
  <c r="E7" i="81"/>
  <c r="E54" i="82" l="1"/>
  <c r="D54" i="82"/>
  <c r="F44" i="82"/>
  <c r="E44" i="82"/>
  <c r="D44" i="82"/>
  <c r="C44" i="82"/>
  <c r="F40" i="82"/>
  <c r="F37" i="82"/>
  <c r="G34" i="82"/>
  <c r="E34" i="82"/>
  <c r="D34" i="82"/>
  <c r="C26" i="82"/>
  <c r="F26" i="82" s="1"/>
  <c r="C25" i="82"/>
  <c r="E24" i="82"/>
  <c r="D24" i="82"/>
  <c r="G18" i="82"/>
  <c r="E18" i="82"/>
  <c r="D18" i="82"/>
  <c r="F17" i="82"/>
  <c r="E6" i="82"/>
  <c r="G6" i="82"/>
  <c r="G42" i="82" s="1"/>
  <c r="D6" i="82"/>
  <c r="D42" i="82" l="1"/>
  <c r="E42" i="82"/>
  <c r="F25" i="82"/>
  <c r="E35" i="81"/>
  <c r="E7" i="80"/>
  <c r="D7" i="81" l="1"/>
  <c r="E12" i="81"/>
  <c r="E29" i="81"/>
  <c r="E41" i="81"/>
  <c r="E52" i="81" l="1"/>
  <c r="D52" i="81"/>
  <c r="D53" i="81"/>
  <c r="C37" i="81"/>
  <c r="C40" i="81"/>
  <c r="C17" i="81"/>
  <c r="F17" i="81" s="1"/>
  <c r="E53" i="81"/>
  <c r="F44" i="81"/>
  <c r="E44" i="81"/>
  <c r="D44" i="81"/>
  <c r="C44" i="81"/>
  <c r="F40" i="81"/>
  <c r="F37" i="81"/>
  <c r="G34" i="81"/>
  <c r="D34" i="81"/>
  <c r="D24" i="81"/>
  <c r="C26" i="81"/>
  <c r="F25" i="81"/>
  <c r="C25" i="81"/>
  <c r="E24" i="81"/>
  <c r="G18" i="81"/>
  <c r="E18" i="81"/>
  <c r="D18" i="81"/>
  <c r="D6" i="81"/>
  <c r="G6" i="81"/>
  <c r="G42" i="81" s="1"/>
  <c r="E6" i="81"/>
  <c r="D42" i="81" l="1"/>
  <c r="F26" i="81"/>
  <c r="E34" i="81"/>
  <c r="E42" i="81" s="1"/>
  <c r="E6" i="80" l="1"/>
  <c r="D7" i="80"/>
  <c r="D6" i="80" s="1"/>
  <c r="D29" i="80"/>
  <c r="D24" i="80" s="1"/>
  <c r="D35" i="80"/>
  <c r="E41" i="80"/>
  <c r="E34" i="80" s="1"/>
  <c r="C37" i="80"/>
  <c r="C40" i="80"/>
  <c r="C17" i="80"/>
  <c r="F17" i="80" s="1"/>
  <c r="E53" i="80"/>
  <c r="D53" i="80"/>
  <c r="F44" i="80"/>
  <c r="E44" i="80"/>
  <c r="D44" i="80"/>
  <c r="C44" i="80"/>
  <c r="F40" i="80"/>
  <c r="G34" i="80"/>
  <c r="D34" i="80"/>
  <c r="F26" i="80"/>
  <c r="C26" i="80"/>
  <c r="C25" i="80"/>
  <c r="F25" i="80" s="1"/>
  <c r="E24" i="80"/>
  <c r="E18" i="80"/>
  <c r="G18" i="80"/>
  <c r="D18" i="80"/>
  <c r="G6" i="80"/>
  <c r="G42" i="80" s="1"/>
  <c r="D42" i="80" l="1"/>
  <c r="E42" i="80"/>
  <c r="F37" i="80"/>
  <c r="E7" i="79"/>
  <c r="D7" i="79"/>
  <c r="E20" i="79"/>
  <c r="E47" i="79"/>
  <c r="E52" i="79"/>
  <c r="C37" i="79" l="1"/>
  <c r="F37" i="79" s="1"/>
  <c r="C40" i="79"/>
  <c r="C17" i="79"/>
  <c r="F17" i="79" s="1"/>
  <c r="E53" i="79"/>
  <c r="D53" i="79"/>
  <c r="F44" i="79"/>
  <c r="E44" i="79"/>
  <c r="D44" i="79"/>
  <c r="C44" i="79"/>
  <c r="F40" i="79"/>
  <c r="E34" i="79"/>
  <c r="G34" i="79"/>
  <c r="D34" i="79"/>
  <c r="F26" i="79"/>
  <c r="C26" i="79"/>
  <c r="C25" i="79"/>
  <c r="F25" i="79" s="1"/>
  <c r="E24" i="79"/>
  <c r="D24" i="79"/>
  <c r="G18" i="79"/>
  <c r="E18" i="79"/>
  <c r="D18" i="79"/>
  <c r="E6" i="79"/>
  <c r="D6" i="79"/>
  <c r="G6" i="79"/>
  <c r="G42" i="79" s="1"/>
  <c r="D42" i="79" l="1"/>
  <c r="E42" i="79"/>
  <c r="E7" i="77" l="1"/>
  <c r="E52" i="77"/>
  <c r="D7" i="77" l="1"/>
  <c r="E20" i="77" l="1"/>
  <c r="E35" i="77"/>
  <c r="E41" i="77"/>
  <c r="C37" i="77"/>
  <c r="C40" i="77"/>
  <c r="C17" i="77"/>
  <c r="D53" i="77" l="1"/>
  <c r="E53" i="77"/>
  <c r="F44" i="77"/>
  <c r="E44" i="77"/>
  <c r="D44" i="77"/>
  <c r="C44" i="77"/>
  <c r="G42" i="77"/>
  <c r="F40" i="77"/>
  <c r="F37" i="77"/>
  <c r="G34" i="77"/>
  <c r="E34" i="77"/>
  <c r="D34" i="77"/>
  <c r="C26" i="77"/>
  <c r="F25" i="77"/>
  <c r="C25" i="77"/>
  <c r="E24" i="77"/>
  <c r="D24" i="77"/>
  <c r="E18" i="77"/>
  <c r="G18" i="77"/>
  <c r="D18" i="77"/>
  <c r="F17" i="77"/>
  <c r="D6" i="77"/>
  <c r="G6" i="77"/>
  <c r="E6" i="77"/>
  <c r="E7" i="76"/>
  <c r="E7" i="75"/>
  <c r="E40" i="75"/>
  <c r="E7" i="73"/>
  <c r="E7" i="71"/>
  <c r="E7" i="70"/>
  <c r="E7" i="68"/>
  <c r="D42" i="77" l="1"/>
  <c r="E42" i="77"/>
  <c r="F26" i="77"/>
  <c r="E12" i="76"/>
  <c r="E6" i="76" s="1"/>
  <c r="D6" i="76"/>
  <c r="F17" i="76"/>
  <c r="E20" i="76"/>
  <c r="D7" i="76"/>
  <c r="E52" i="76" l="1"/>
  <c r="C37" i="76" l="1"/>
  <c r="F37" i="76" s="1"/>
  <c r="C40" i="76"/>
  <c r="E53" i="76"/>
  <c r="D53" i="76"/>
  <c r="F44" i="76"/>
  <c r="E44" i="76"/>
  <c r="D44" i="76"/>
  <c r="C44" i="76"/>
  <c r="F40" i="76"/>
  <c r="G34" i="76"/>
  <c r="D34" i="76"/>
  <c r="C26" i="76"/>
  <c r="C25" i="76"/>
  <c r="F25" i="76" s="1"/>
  <c r="E24" i="76"/>
  <c r="D24" i="76"/>
  <c r="E18" i="76"/>
  <c r="G18" i="76"/>
  <c r="D18" i="76"/>
  <c r="G6" i="76"/>
  <c r="G42" i="76" s="1"/>
  <c r="D42" i="76" l="1"/>
  <c r="F26" i="76"/>
  <c r="E34" i="76"/>
  <c r="E42" i="76" s="1"/>
  <c r="D7" i="75" l="1"/>
  <c r="E12" i="75" l="1"/>
  <c r="D12" i="75"/>
  <c r="E19" i="75"/>
  <c r="E51" i="75" l="1"/>
  <c r="C39" i="75"/>
  <c r="F39" i="75" s="1"/>
  <c r="F36" i="75"/>
  <c r="E52" i="75"/>
  <c r="D52" i="75"/>
  <c r="F43" i="75"/>
  <c r="E43" i="75"/>
  <c r="D43" i="75"/>
  <c r="C43" i="75"/>
  <c r="G33" i="75"/>
  <c r="E33" i="75"/>
  <c r="D33" i="75"/>
  <c r="C25" i="75"/>
  <c r="F25" i="75" s="1"/>
  <c r="C24" i="75"/>
  <c r="E23" i="75"/>
  <c r="D23" i="75"/>
  <c r="G17" i="75"/>
  <c r="E17" i="75"/>
  <c r="D17" i="75"/>
  <c r="E6" i="75"/>
  <c r="G6" i="75"/>
  <c r="G41" i="75" s="1"/>
  <c r="D6" i="75"/>
  <c r="E41" i="75" l="1"/>
  <c r="D41" i="75"/>
  <c r="F24" i="75"/>
  <c r="G17" i="73"/>
  <c r="E19" i="73" l="1"/>
  <c r="E12" i="73"/>
  <c r="D12" i="73"/>
  <c r="D7" i="73"/>
  <c r="E50" i="73"/>
  <c r="C38" i="73"/>
  <c r="D51" i="73" l="1"/>
  <c r="E51" i="73"/>
  <c r="F42" i="73"/>
  <c r="E42" i="73"/>
  <c r="D42" i="73"/>
  <c r="C42" i="73"/>
  <c r="F38" i="73"/>
  <c r="G33" i="73"/>
  <c r="E33" i="73"/>
  <c r="D33" i="73"/>
  <c r="C25" i="73"/>
  <c r="F25" i="73" s="1"/>
  <c r="C24" i="73"/>
  <c r="E23" i="73"/>
  <c r="D23" i="73"/>
  <c r="E17" i="73"/>
  <c r="D17" i="73"/>
  <c r="E6" i="73"/>
  <c r="G6" i="73"/>
  <c r="G40" i="73" s="1"/>
  <c r="D6" i="73"/>
  <c r="D40" i="73" l="1"/>
  <c r="E40" i="73"/>
  <c r="F24" i="73"/>
  <c r="E12" i="71"/>
  <c r="E22" i="71"/>
  <c r="E48" i="71" l="1"/>
  <c r="C38" i="71"/>
  <c r="D51" i="71" l="1"/>
  <c r="E51" i="71"/>
  <c r="F42" i="71"/>
  <c r="E42" i="71"/>
  <c r="D42" i="71"/>
  <c r="C42" i="71"/>
  <c r="F38" i="71"/>
  <c r="G33" i="71"/>
  <c r="G23" i="71" s="1"/>
  <c r="E33" i="71"/>
  <c r="D33" i="71"/>
  <c r="C25" i="71"/>
  <c r="F25" i="71" s="1"/>
  <c r="C24" i="71"/>
  <c r="F24" i="71" s="1"/>
  <c r="E23" i="71"/>
  <c r="D23" i="71"/>
  <c r="E17" i="71"/>
  <c r="D17" i="71"/>
  <c r="G6" i="71"/>
  <c r="G40" i="71" s="1"/>
  <c r="E6" i="71"/>
  <c r="D6" i="71"/>
  <c r="D40" i="71" l="1"/>
  <c r="E40" i="71"/>
  <c r="D12" i="70" l="1"/>
  <c r="E50" i="70"/>
  <c r="D33" i="70" l="1"/>
  <c r="E33" i="70"/>
  <c r="F38" i="70"/>
  <c r="E6" i="70" l="1"/>
  <c r="E51" i="70"/>
  <c r="D51" i="70"/>
  <c r="F42" i="70"/>
  <c r="E42" i="70"/>
  <c r="D42" i="70"/>
  <c r="C42" i="70"/>
  <c r="G33" i="70"/>
  <c r="G23" i="70" s="1"/>
  <c r="C25" i="70"/>
  <c r="F25" i="70" s="1"/>
  <c r="C24" i="70"/>
  <c r="F24" i="70" s="1"/>
  <c r="E23" i="70"/>
  <c r="D23" i="70"/>
  <c r="E17" i="70"/>
  <c r="D17" i="70"/>
  <c r="G6" i="70"/>
  <c r="D6" i="70"/>
  <c r="G40" i="70" l="1"/>
  <c r="D40" i="70"/>
  <c r="E40" i="70"/>
  <c r="E12" i="69" l="1"/>
  <c r="D12" i="69"/>
  <c r="E34" i="69"/>
  <c r="E36" i="69"/>
  <c r="E49" i="69"/>
  <c r="E50" i="69" l="1"/>
  <c r="D50" i="69"/>
  <c r="F41" i="69"/>
  <c r="E41" i="69"/>
  <c r="D41" i="69"/>
  <c r="C41" i="69"/>
  <c r="G33" i="69"/>
  <c r="G23" i="69" s="1"/>
  <c r="D33" i="69"/>
  <c r="C25" i="69"/>
  <c r="F25" i="69" s="1"/>
  <c r="C24" i="69"/>
  <c r="F24" i="69" s="1"/>
  <c r="E23" i="69"/>
  <c r="D23" i="69"/>
  <c r="E17" i="69"/>
  <c r="D17" i="69"/>
  <c r="G6" i="69"/>
  <c r="E6" i="69"/>
  <c r="D6" i="69"/>
  <c r="G39" i="69" l="1"/>
  <c r="E39" i="69"/>
  <c r="D39" i="69"/>
  <c r="F39" i="67" l="1"/>
  <c r="C39" i="67"/>
  <c r="D12" i="68"/>
  <c r="C45" i="68" l="1"/>
  <c r="C46" i="68"/>
  <c r="C47" i="68"/>
  <c r="C48" i="68"/>
  <c r="C49" i="68"/>
  <c r="C44" i="68"/>
  <c r="C34" i="68"/>
  <c r="C27" i="68"/>
  <c r="C28" i="68"/>
  <c r="C29" i="68"/>
  <c r="C30" i="68"/>
  <c r="C31" i="68"/>
  <c r="C32" i="68"/>
  <c r="C26" i="68"/>
  <c r="C19" i="68"/>
  <c r="C20" i="68"/>
  <c r="C21" i="68"/>
  <c r="C22" i="68"/>
  <c r="C18" i="68"/>
  <c r="C8" i="68"/>
  <c r="C9" i="68"/>
  <c r="C10" i="68"/>
  <c r="C11" i="68"/>
  <c r="C12" i="68"/>
  <c r="C13" i="68"/>
  <c r="C14" i="68"/>
  <c r="C15" i="68"/>
  <c r="C16" i="68"/>
  <c r="C7" i="68"/>
  <c r="E7" i="67" l="1"/>
  <c r="E12" i="67"/>
  <c r="E7" i="66"/>
  <c r="F38" i="62" l="1"/>
  <c r="E7" i="59"/>
  <c r="E7" i="58" l="1"/>
  <c r="F33" i="56" l="1"/>
  <c r="C32" i="56"/>
  <c r="C38" i="56" s="1"/>
  <c r="C48" i="56"/>
  <c r="C19" i="56"/>
  <c r="C20" i="56"/>
  <c r="C21" i="56"/>
  <c r="C18" i="56"/>
  <c r="E7" i="56"/>
  <c r="E12" i="58"/>
  <c r="E12" i="66"/>
  <c r="E7" i="65"/>
  <c r="E7" i="61"/>
  <c r="E7" i="60"/>
  <c r="E8" i="60" l="1"/>
  <c r="F48" i="56"/>
  <c r="C35" i="68" l="1"/>
  <c r="C37" i="68"/>
  <c r="E50" i="68" l="1"/>
  <c r="D50" i="68"/>
  <c r="F49" i="68"/>
  <c r="C49" i="69" s="1"/>
  <c r="F49" i="69" s="1"/>
  <c r="C50" i="70" s="1"/>
  <c r="F50" i="70" s="1"/>
  <c r="C50" i="71" s="1"/>
  <c r="F50" i="71" s="1"/>
  <c r="C50" i="73" s="1"/>
  <c r="F50" i="73" s="1"/>
  <c r="C51" i="75" s="1"/>
  <c r="F51" i="75" s="1"/>
  <c r="C52" i="76" s="1"/>
  <c r="F52" i="76" s="1"/>
  <c r="C52" i="77" s="1"/>
  <c r="F52" i="77" s="1"/>
  <c r="C52" i="79" s="1"/>
  <c r="F52" i="79" s="1"/>
  <c r="C52" i="80" s="1"/>
  <c r="F52" i="80" s="1"/>
  <c r="C52" i="81" s="1"/>
  <c r="F52" i="81" s="1"/>
  <c r="C53" i="82" s="1"/>
  <c r="F53" i="82" s="1"/>
  <c r="C53" i="83" s="1"/>
  <c r="F53" i="83" s="1"/>
  <c r="C53" i="84" s="1"/>
  <c r="F53" i="84" s="1"/>
  <c r="F48" i="68"/>
  <c r="C48" i="69" s="1"/>
  <c r="F48" i="69" s="1"/>
  <c r="C49" i="70" s="1"/>
  <c r="F49" i="70" s="1"/>
  <c r="C49" i="71" s="1"/>
  <c r="F49" i="71" s="1"/>
  <c r="C49" i="73" s="1"/>
  <c r="F49" i="73" s="1"/>
  <c r="C50" i="75" s="1"/>
  <c r="F50" i="75" s="1"/>
  <c r="C51" i="76" s="1"/>
  <c r="F51" i="76" s="1"/>
  <c r="C51" i="77" s="1"/>
  <c r="F51" i="77" s="1"/>
  <c r="C51" i="79" s="1"/>
  <c r="F51" i="79" s="1"/>
  <c r="C51" i="80" s="1"/>
  <c r="F51" i="80" s="1"/>
  <c r="C51" i="81" s="1"/>
  <c r="F51" i="81" s="1"/>
  <c r="C52" i="82" s="1"/>
  <c r="F52" i="82" s="1"/>
  <c r="C52" i="83" s="1"/>
  <c r="F52" i="83" s="1"/>
  <c r="C52" i="84" s="1"/>
  <c r="F52" i="84" s="1"/>
  <c r="F47" i="68"/>
  <c r="C47" i="69" s="1"/>
  <c r="F47" i="69" s="1"/>
  <c r="C48" i="70" s="1"/>
  <c r="F48" i="70" s="1"/>
  <c r="C48" i="71" s="1"/>
  <c r="F48" i="71" s="1"/>
  <c r="C48" i="73" s="1"/>
  <c r="F48" i="73" s="1"/>
  <c r="C49" i="75" s="1"/>
  <c r="F49" i="75" s="1"/>
  <c r="C50" i="76" s="1"/>
  <c r="F50" i="76" s="1"/>
  <c r="C50" i="77" s="1"/>
  <c r="F50" i="77" s="1"/>
  <c r="C50" i="79" s="1"/>
  <c r="F50" i="79" s="1"/>
  <c r="C50" i="80" s="1"/>
  <c r="F50" i="80" s="1"/>
  <c r="C50" i="81" s="1"/>
  <c r="F50" i="81" s="1"/>
  <c r="C50" i="82" s="1"/>
  <c r="F50" i="82" s="1"/>
  <c r="C50" i="83" s="1"/>
  <c r="F50" i="83" s="1"/>
  <c r="C50" i="84" s="1"/>
  <c r="F50" i="84" s="1"/>
  <c r="C50" i="68"/>
  <c r="F45" i="68"/>
  <c r="C45" i="69" s="1"/>
  <c r="F45" i="69" s="1"/>
  <c r="C46" i="70" s="1"/>
  <c r="F46" i="70" s="1"/>
  <c r="C46" i="71" s="1"/>
  <c r="F46" i="71" s="1"/>
  <c r="C46" i="73" s="1"/>
  <c r="F46" i="73" s="1"/>
  <c r="C47" i="75" s="1"/>
  <c r="F47" i="75" s="1"/>
  <c r="C48" i="76" s="1"/>
  <c r="F48" i="76" s="1"/>
  <c r="C48" i="77" s="1"/>
  <c r="F48" i="77" s="1"/>
  <c r="C48" i="79" s="1"/>
  <c r="F48" i="79" s="1"/>
  <c r="C48" i="80" s="1"/>
  <c r="F48" i="80" s="1"/>
  <c r="C48" i="81" s="1"/>
  <c r="F48" i="81" s="1"/>
  <c r="C48" i="82" s="1"/>
  <c r="F48" i="82" s="1"/>
  <c r="C48" i="83" s="1"/>
  <c r="F48" i="83" s="1"/>
  <c r="C48" i="84" s="1"/>
  <c r="F48" i="84" s="1"/>
  <c r="F44" i="68"/>
  <c r="C44" i="69" s="1"/>
  <c r="F41" i="68"/>
  <c r="E41" i="68"/>
  <c r="D41" i="68"/>
  <c r="C41" i="68"/>
  <c r="F37" i="68"/>
  <c r="C37" i="69" s="1"/>
  <c r="F37" i="69" s="1"/>
  <c r="C37" i="70" s="1"/>
  <c r="F37" i="70" s="1"/>
  <c r="C37" i="71" s="1"/>
  <c r="F37" i="71" s="1"/>
  <c r="C37" i="73" s="1"/>
  <c r="F37" i="73" s="1"/>
  <c r="C38" i="75" s="1"/>
  <c r="F38" i="75" s="1"/>
  <c r="C39" i="76" s="1"/>
  <c r="F39" i="76" s="1"/>
  <c r="C39" i="77" s="1"/>
  <c r="F39" i="77" s="1"/>
  <c r="C39" i="79" s="1"/>
  <c r="F39" i="79" s="1"/>
  <c r="C39" i="80" s="1"/>
  <c r="F39" i="80" s="1"/>
  <c r="C39" i="81" s="1"/>
  <c r="F39" i="81" s="1"/>
  <c r="C39" i="82" s="1"/>
  <c r="F39" i="82" s="1"/>
  <c r="C39" i="83" s="1"/>
  <c r="F39" i="83" s="1"/>
  <c r="C39" i="84" s="1"/>
  <c r="F39" i="84" s="1"/>
  <c r="F35" i="68"/>
  <c r="C35" i="69" s="1"/>
  <c r="F35" i="69" s="1"/>
  <c r="C35" i="70" s="1"/>
  <c r="F35" i="70" s="1"/>
  <c r="C35" i="71" s="1"/>
  <c r="F35" i="71" s="1"/>
  <c r="C35" i="73" s="1"/>
  <c r="F35" i="73" s="1"/>
  <c r="C35" i="75" s="1"/>
  <c r="F35" i="75" s="1"/>
  <c r="C36" i="76" s="1"/>
  <c r="F36" i="76" s="1"/>
  <c r="C36" i="77" s="1"/>
  <c r="F36" i="77" s="1"/>
  <c r="C36" i="79" s="1"/>
  <c r="F36" i="79" s="1"/>
  <c r="C36" i="80" s="1"/>
  <c r="F36" i="80" s="1"/>
  <c r="C36" i="81" s="1"/>
  <c r="F36" i="81" s="1"/>
  <c r="C36" i="82" s="1"/>
  <c r="F36" i="82" s="1"/>
  <c r="C36" i="83" s="1"/>
  <c r="F36" i="83" s="1"/>
  <c r="C36" i="84" s="1"/>
  <c r="F36" i="84" s="1"/>
  <c r="G33" i="68"/>
  <c r="G23" i="68" s="1"/>
  <c r="E33" i="68"/>
  <c r="D33" i="68"/>
  <c r="F32" i="68"/>
  <c r="C32" i="69" s="1"/>
  <c r="F32" i="69" s="1"/>
  <c r="C32" i="70" s="1"/>
  <c r="F32" i="70" s="1"/>
  <c r="C32" i="71" s="1"/>
  <c r="F32" i="71" s="1"/>
  <c r="C32" i="73" s="1"/>
  <c r="F32" i="73" s="1"/>
  <c r="C32" i="75" s="1"/>
  <c r="F32" i="75" s="1"/>
  <c r="C33" i="76" s="1"/>
  <c r="F33" i="76" s="1"/>
  <c r="C33" i="77" s="1"/>
  <c r="F33" i="77" s="1"/>
  <c r="C33" i="79" s="1"/>
  <c r="F33" i="79" s="1"/>
  <c r="C33" i="80" s="1"/>
  <c r="F33" i="80" s="1"/>
  <c r="C33" i="81" s="1"/>
  <c r="F33" i="81" s="1"/>
  <c r="C33" i="82" s="1"/>
  <c r="F33" i="82" s="1"/>
  <c r="C33" i="83" s="1"/>
  <c r="F33" i="83" s="1"/>
  <c r="C33" i="84" s="1"/>
  <c r="F33" i="84" s="1"/>
  <c r="F31" i="68"/>
  <c r="C31" i="69" s="1"/>
  <c r="F31" i="69" s="1"/>
  <c r="C31" i="70" s="1"/>
  <c r="F31" i="70" s="1"/>
  <c r="C31" i="71" s="1"/>
  <c r="F31" i="71" s="1"/>
  <c r="C31" i="73" s="1"/>
  <c r="F31" i="73" s="1"/>
  <c r="C31" i="75" s="1"/>
  <c r="F31" i="75" s="1"/>
  <c r="C32" i="76" s="1"/>
  <c r="F32" i="76" s="1"/>
  <c r="C32" i="77" s="1"/>
  <c r="F32" i="77" s="1"/>
  <c r="C32" i="79" s="1"/>
  <c r="F32" i="79" s="1"/>
  <c r="C32" i="80" s="1"/>
  <c r="F32" i="80" s="1"/>
  <c r="C32" i="81" s="1"/>
  <c r="F32" i="81" s="1"/>
  <c r="C32" i="82" s="1"/>
  <c r="F32" i="82" s="1"/>
  <c r="C32" i="83" s="1"/>
  <c r="F32" i="83" s="1"/>
  <c r="C32" i="84" s="1"/>
  <c r="F32" i="84" s="1"/>
  <c r="F30" i="68"/>
  <c r="C30" i="69" s="1"/>
  <c r="F30" i="69" s="1"/>
  <c r="C30" i="70" s="1"/>
  <c r="F30" i="70" s="1"/>
  <c r="C30" i="71" s="1"/>
  <c r="F30" i="71" s="1"/>
  <c r="C30" i="73" s="1"/>
  <c r="F30" i="73" s="1"/>
  <c r="C30" i="75" s="1"/>
  <c r="F30" i="75" s="1"/>
  <c r="C31" i="76" s="1"/>
  <c r="F31" i="76" s="1"/>
  <c r="C31" i="77" s="1"/>
  <c r="F31" i="77" s="1"/>
  <c r="C31" i="79" s="1"/>
  <c r="F31" i="79" s="1"/>
  <c r="C31" i="80" s="1"/>
  <c r="F31" i="80" s="1"/>
  <c r="C31" i="81" s="1"/>
  <c r="F31" i="81" s="1"/>
  <c r="C31" i="82" s="1"/>
  <c r="F31" i="82" s="1"/>
  <c r="C31" i="83" s="1"/>
  <c r="F31" i="83" s="1"/>
  <c r="C31" i="84" s="1"/>
  <c r="F31" i="84" s="1"/>
  <c r="F28" i="68"/>
  <c r="C28" i="69" s="1"/>
  <c r="F28" i="69" s="1"/>
  <c r="C28" i="70" s="1"/>
  <c r="F28" i="70" s="1"/>
  <c r="C28" i="71" s="1"/>
  <c r="F28" i="71" s="1"/>
  <c r="C28" i="73" s="1"/>
  <c r="F28" i="73" s="1"/>
  <c r="C28" i="75" s="1"/>
  <c r="F28" i="75" s="1"/>
  <c r="C29" i="76" s="1"/>
  <c r="F29" i="76" s="1"/>
  <c r="C29" i="77" s="1"/>
  <c r="F29" i="77" s="1"/>
  <c r="C29" i="79" s="1"/>
  <c r="F29" i="79" s="1"/>
  <c r="C29" i="80" s="1"/>
  <c r="F29" i="80" s="1"/>
  <c r="C29" i="81" s="1"/>
  <c r="F29" i="81" s="1"/>
  <c r="C29" i="82" s="1"/>
  <c r="F27" i="68"/>
  <c r="C27" i="69" s="1"/>
  <c r="F27" i="69" s="1"/>
  <c r="C27" i="70" s="1"/>
  <c r="F27" i="70" s="1"/>
  <c r="C27" i="71" s="1"/>
  <c r="F27" i="71" s="1"/>
  <c r="C25" i="68"/>
  <c r="F25" i="68" s="1"/>
  <c r="C24" i="68"/>
  <c r="F24" i="68" s="1"/>
  <c r="E23" i="68"/>
  <c r="D23" i="68"/>
  <c r="E17" i="68"/>
  <c r="D17" i="68"/>
  <c r="F16" i="68"/>
  <c r="C16" i="69" s="1"/>
  <c r="F16" i="69" s="1"/>
  <c r="C16" i="70" s="1"/>
  <c r="F16" i="70" s="1"/>
  <c r="C16" i="71" s="1"/>
  <c r="F16" i="71" s="1"/>
  <c r="C16" i="73" s="1"/>
  <c r="F16" i="73" s="1"/>
  <c r="C16" i="75" s="1"/>
  <c r="F16" i="75" s="1"/>
  <c r="C16" i="76" s="1"/>
  <c r="F16" i="76" s="1"/>
  <c r="C16" i="77" s="1"/>
  <c r="F16" i="77" s="1"/>
  <c r="C16" i="79" s="1"/>
  <c r="F16" i="79" s="1"/>
  <c r="C16" i="80" s="1"/>
  <c r="F16" i="80" s="1"/>
  <c r="C16" i="81" s="1"/>
  <c r="F16" i="81" s="1"/>
  <c r="C16" i="82" s="1"/>
  <c r="F16" i="82" s="1"/>
  <c r="C16" i="83" s="1"/>
  <c r="F16" i="83" s="1"/>
  <c r="C16" i="84" s="1"/>
  <c r="F16" i="84" s="1"/>
  <c r="F15" i="68"/>
  <c r="C15" i="69" s="1"/>
  <c r="F15" i="69" s="1"/>
  <c r="C15" i="70" s="1"/>
  <c r="F15" i="70" s="1"/>
  <c r="C15" i="71" s="1"/>
  <c r="F15" i="71" s="1"/>
  <c r="C15" i="73" s="1"/>
  <c r="F15" i="73" s="1"/>
  <c r="C15" i="75" s="1"/>
  <c r="F15" i="75" s="1"/>
  <c r="C15" i="76" s="1"/>
  <c r="F15" i="76" s="1"/>
  <c r="C15" i="77" s="1"/>
  <c r="F15" i="77" s="1"/>
  <c r="C15" i="79" s="1"/>
  <c r="F15" i="79" s="1"/>
  <c r="C15" i="80" s="1"/>
  <c r="F15" i="80" s="1"/>
  <c r="C15" i="81" s="1"/>
  <c r="F15" i="81" s="1"/>
  <c r="C15" i="82" s="1"/>
  <c r="F15" i="82" s="1"/>
  <c r="C15" i="83" s="1"/>
  <c r="F15" i="83" s="1"/>
  <c r="C15" i="84" s="1"/>
  <c r="F15" i="84" s="1"/>
  <c r="F14" i="68"/>
  <c r="C14" i="69" s="1"/>
  <c r="F14" i="69" s="1"/>
  <c r="C14" i="70" s="1"/>
  <c r="F14" i="70" s="1"/>
  <c r="C14" i="71" s="1"/>
  <c r="F14" i="71" s="1"/>
  <c r="C14" i="73" s="1"/>
  <c r="F14" i="73" s="1"/>
  <c r="C14" i="75" s="1"/>
  <c r="F14" i="75" s="1"/>
  <c r="C14" i="76" s="1"/>
  <c r="F14" i="76" s="1"/>
  <c r="C14" i="77" s="1"/>
  <c r="F14" i="77" s="1"/>
  <c r="C14" i="79" s="1"/>
  <c r="F14" i="79" s="1"/>
  <c r="C14" i="80" s="1"/>
  <c r="F14" i="80" s="1"/>
  <c r="C14" i="81" s="1"/>
  <c r="F14" i="81" s="1"/>
  <c r="C14" i="82" s="1"/>
  <c r="F14" i="82" s="1"/>
  <c r="C14" i="83" s="1"/>
  <c r="F14" i="83" s="1"/>
  <c r="C14" i="84" s="1"/>
  <c r="F14" i="84" s="1"/>
  <c r="F13" i="68"/>
  <c r="C13" i="69" s="1"/>
  <c r="F13" i="69" s="1"/>
  <c r="C13" i="70" s="1"/>
  <c r="F13" i="70" s="1"/>
  <c r="C13" i="71" s="1"/>
  <c r="F13" i="71" s="1"/>
  <c r="C13" i="73" s="1"/>
  <c r="F13" i="73" s="1"/>
  <c r="C13" i="75" s="1"/>
  <c r="F13" i="75" s="1"/>
  <c r="C13" i="76" s="1"/>
  <c r="F13" i="76" s="1"/>
  <c r="C13" i="77" s="1"/>
  <c r="F13" i="77" s="1"/>
  <c r="C13" i="79" s="1"/>
  <c r="F13" i="79" s="1"/>
  <c r="C13" i="80" s="1"/>
  <c r="F13" i="80" s="1"/>
  <c r="C13" i="81" s="1"/>
  <c r="F13" i="81" s="1"/>
  <c r="C13" i="82" s="1"/>
  <c r="F13" i="82" s="1"/>
  <c r="C13" i="83" s="1"/>
  <c r="F13" i="83" s="1"/>
  <c r="C13" i="84" s="1"/>
  <c r="F13" i="84" s="1"/>
  <c r="F11" i="68"/>
  <c r="C11" i="69" s="1"/>
  <c r="F11" i="69" s="1"/>
  <c r="C11" i="70" s="1"/>
  <c r="F11" i="70" s="1"/>
  <c r="C11" i="71" s="1"/>
  <c r="F11" i="71" s="1"/>
  <c r="C11" i="73" s="1"/>
  <c r="F11" i="73" s="1"/>
  <c r="C11" i="75" s="1"/>
  <c r="F11" i="75" s="1"/>
  <c r="C11" i="76" s="1"/>
  <c r="F11" i="76" s="1"/>
  <c r="C11" i="77" s="1"/>
  <c r="F11" i="77" s="1"/>
  <c r="C11" i="79" s="1"/>
  <c r="F11" i="79" s="1"/>
  <c r="C11" i="80" s="1"/>
  <c r="F11" i="80" s="1"/>
  <c r="C11" i="81" s="1"/>
  <c r="F11" i="81" s="1"/>
  <c r="C11" i="82" s="1"/>
  <c r="F11" i="82" s="1"/>
  <c r="C11" i="83" s="1"/>
  <c r="F11" i="83" s="1"/>
  <c r="C11" i="84" s="1"/>
  <c r="F11" i="84" s="1"/>
  <c r="F10" i="68"/>
  <c r="C10" i="69" s="1"/>
  <c r="F10" i="69" s="1"/>
  <c r="C10" i="70" s="1"/>
  <c r="F10" i="70" s="1"/>
  <c r="C10" i="71" s="1"/>
  <c r="F10" i="71" s="1"/>
  <c r="C10" i="73" s="1"/>
  <c r="F10" i="73" s="1"/>
  <c r="C10" i="75" s="1"/>
  <c r="F10" i="75" s="1"/>
  <c r="C10" i="76" s="1"/>
  <c r="F10" i="76" s="1"/>
  <c r="C10" i="77" s="1"/>
  <c r="F10" i="77" s="1"/>
  <c r="C10" i="79" s="1"/>
  <c r="F10" i="79" s="1"/>
  <c r="C10" i="80" s="1"/>
  <c r="F10" i="80" s="1"/>
  <c r="C10" i="81" s="1"/>
  <c r="F10" i="81" s="1"/>
  <c r="C10" i="82" s="1"/>
  <c r="F10" i="82" s="1"/>
  <c r="C10" i="83" s="1"/>
  <c r="F10" i="83" s="1"/>
  <c r="C10" i="84" s="1"/>
  <c r="F10" i="84" s="1"/>
  <c r="F9" i="68"/>
  <c r="C9" i="69" s="1"/>
  <c r="F9" i="69" s="1"/>
  <c r="C9" i="70" s="1"/>
  <c r="F9" i="70" s="1"/>
  <c r="C9" i="71" s="1"/>
  <c r="F9" i="71" s="1"/>
  <c r="C9" i="73" s="1"/>
  <c r="F9" i="73" s="1"/>
  <c r="C9" i="75" s="1"/>
  <c r="F9" i="75" s="1"/>
  <c r="C9" i="76" s="1"/>
  <c r="F9" i="76" s="1"/>
  <c r="C9" i="77" s="1"/>
  <c r="F9" i="77" s="1"/>
  <c r="C9" i="79" s="1"/>
  <c r="F9" i="79" s="1"/>
  <c r="C9" i="80" s="1"/>
  <c r="F9" i="80" s="1"/>
  <c r="C9" i="81" s="1"/>
  <c r="F9" i="81" s="1"/>
  <c r="C9" i="82" s="1"/>
  <c r="F9" i="82" s="1"/>
  <c r="C9" i="83" s="1"/>
  <c r="F9" i="83" s="1"/>
  <c r="C9" i="84" s="1"/>
  <c r="F9" i="84" s="1"/>
  <c r="E6" i="68"/>
  <c r="D6" i="68"/>
  <c r="G6" i="68"/>
  <c r="C28" i="84" l="1"/>
  <c r="F28" i="84" s="1"/>
  <c r="C28" i="83"/>
  <c r="F28" i="83" s="1"/>
  <c r="C28" i="82"/>
  <c r="F28" i="82" s="1"/>
  <c r="C28" i="81"/>
  <c r="F28" i="81" s="1"/>
  <c r="G39" i="68"/>
  <c r="F44" i="69"/>
  <c r="C45" i="70" s="1"/>
  <c r="C28" i="80"/>
  <c r="F28" i="80" s="1"/>
  <c r="C28" i="79"/>
  <c r="F28" i="79" s="1"/>
  <c r="C28" i="77"/>
  <c r="F28" i="77" s="1"/>
  <c r="C28" i="76"/>
  <c r="F28" i="76" s="1"/>
  <c r="C27" i="75"/>
  <c r="F27" i="75" s="1"/>
  <c r="C27" i="73"/>
  <c r="F27" i="73" s="1"/>
  <c r="F50" i="68"/>
  <c r="E39" i="68"/>
  <c r="D39" i="68"/>
  <c r="F46" i="68"/>
  <c r="C46" i="69" s="1"/>
  <c r="F46" i="69" s="1"/>
  <c r="C47" i="70" s="1"/>
  <c r="F47" i="70" s="1"/>
  <c r="C47" i="71" s="1"/>
  <c r="F47" i="71" s="1"/>
  <c r="C47" i="73" s="1"/>
  <c r="F47" i="73" s="1"/>
  <c r="C48" i="75" s="1"/>
  <c r="F48" i="75" s="1"/>
  <c r="C49" i="76" s="1"/>
  <c r="F49" i="76" s="1"/>
  <c r="C49" i="77" s="1"/>
  <c r="F49" i="77" s="1"/>
  <c r="C49" i="79" s="1"/>
  <c r="F49" i="79" s="1"/>
  <c r="C49" i="80" s="1"/>
  <c r="F49" i="80" s="1"/>
  <c r="C49" i="81" s="1"/>
  <c r="F49" i="81" s="1"/>
  <c r="C49" i="82" s="1"/>
  <c r="F49" i="82" s="1"/>
  <c r="C49" i="83" s="1"/>
  <c r="F49" i="83" s="1"/>
  <c r="C49" i="84" s="1"/>
  <c r="F49" i="84" s="1"/>
  <c r="D7" i="67"/>
  <c r="E49" i="67"/>
  <c r="F45" i="70" l="1"/>
  <c r="C45" i="71" s="1"/>
  <c r="C51" i="70"/>
  <c r="F51" i="70" s="1"/>
  <c r="C50" i="69"/>
  <c r="F50" i="69" s="1"/>
  <c r="C45" i="67"/>
  <c r="C46" i="67"/>
  <c r="C47" i="67"/>
  <c r="C48" i="67"/>
  <c r="C49" i="67"/>
  <c r="C44" i="67"/>
  <c r="F44" i="67" s="1"/>
  <c r="C36" i="67"/>
  <c r="C38" i="67"/>
  <c r="F38" i="67" s="1"/>
  <c r="C27" i="67"/>
  <c r="C28" i="67"/>
  <c r="C30" i="67"/>
  <c r="C31" i="67"/>
  <c r="C32" i="67"/>
  <c r="C33" i="67"/>
  <c r="F33" i="67" s="1"/>
  <c r="C9" i="67"/>
  <c r="F9" i="67" s="1"/>
  <c r="C10" i="67"/>
  <c r="C11" i="67"/>
  <c r="C13" i="67"/>
  <c r="F13" i="67" s="1"/>
  <c r="C14" i="67"/>
  <c r="C15" i="67"/>
  <c r="C16" i="67"/>
  <c r="F16" i="67" s="1"/>
  <c r="E50" i="67"/>
  <c r="D50" i="67"/>
  <c r="F49" i="67"/>
  <c r="F48" i="67"/>
  <c r="F47" i="67"/>
  <c r="F46" i="67"/>
  <c r="F45" i="67"/>
  <c r="F41" i="67"/>
  <c r="E41" i="67"/>
  <c r="D41" i="67"/>
  <c r="C41" i="67"/>
  <c r="F36" i="67"/>
  <c r="G34" i="67"/>
  <c r="E34" i="67"/>
  <c r="D34" i="67"/>
  <c r="F32" i="67"/>
  <c r="F31" i="67"/>
  <c r="F30" i="67"/>
  <c r="F28" i="67"/>
  <c r="F27" i="67"/>
  <c r="C25" i="67"/>
  <c r="F25" i="67" s="1"/>
  <c r="C24" i="67"/>
  <c r="F24" i="67" s="1"/>
  <c r="G23" i="67"/>
  <c r="E23" i="67"/>
  <c r="D23" i="67"/>
  <c r="E17" i="67"/>
  <c r="D17" i="67"/>
  <c r="F15" i="67"/>
  <c r="F14" i="67"/>
  <c r="F11" i="67"/>
  <c r="F10" i="67"/>
  <c r="E6" i="67"/>
  <c r="D6" i="67"/>
  <c r="G6" i="67"/>
  <c r="G39" i="67" s="1"/>
  <c r="C51" i="71" l="1"/>
  <c r="F51" i="71" s="1"/>
  <c r="F45" i="71"/>
  <c r="C45" i="73" s="1"/>
  <c r="F39" i="70"/>
  <c r="D39" i="67"/>
  <c r="E39" i="67"/>
  <c r="C50" i="67"/>
  <c r="F50" i="67" s="1"/>
  <c r="F45" i="73" l="1"/>
  <c r="C46" i="75" s="1"/>
  <c r="C51" i="73"/>
  <c r="F51" i="73" s="1"/>
  <c r="C39" i="71"/>
  <c r="D12" i="66"/>
  <c r="D7" i="66"/>
  <c r="F46" i="75" l="1"/>
  <c r="C47" i="76" s="1"/>
  <c r="C52" i="75"/>
  <c r="F52" i="75" s="1"/>
  <c r="F39" i="71"/>
  <c r="E49" i="66"/>
  <c r="E50" i="66" s="1"/>
  <c r="C45" i="66"/>
  <c r="C46" i="66"/>
  <c r="C47" i="66"/>
  <c r="C48" i="66"/>
  <c r="C49" i="66"/>
  <c r="C44" i="66"/>
  <c r="C50" i="66" s="1"/>
  <c r="C36" i="66"/>
  <c r="C38" i="66"/>
  <c r="F38" i="66" s="1"/>
  <c r="C27" i="66"/>
  <c r="C28" i="66"/>
  <c r="C30" i="66"/>
  <c r="C31" i="66"/>
  <c r="C32" i="66"/>
  <c r="C33" i="66"/>
  <c r="F33" i="66" s="1"/>
  <c r="C9" i="66"/>
  <c r="C10" i="66"/>
  <c r="C11" i="66"/>
  <c r="C13" i="66"/>
  <c r="F13" i="66" s="1"/>
  <c r="C14" i="66"/>
  <c r="F14" i="66" s="1"/>
  <c r="C15" i="66"/>
  <c r="F15" i="66" s="1"/>
  <c r="C16" i="66"/>
  <c r="D50" i="66"/>
  <c r="F48" i="66"/>
  <c r="F47" i="66"/>
  <c r="F46" i="66"/>
  <c r="F45" i="66"/>
  <c r="F41" i="66"/>
  <c r="E41" i="66"/>
  <c r="D41" i="66"/>
  <c r="C41" i="66"/>
  <c r="E34" i="66"/>
  <c r="F36" i="66"/>
  <c r="G34" i="66"/>
  <c r="G23" i="66" s="1"/>
  <c r="D34" i="66"/>
  <c r="F32" i="66"/>
  <c r="F31" i="66"/>
  <c r="F30" i="66"/>
  <c r="F28" i="66"/>
  <c r="F27" i="66"/>
  <c r="C25" i="66"/>
  <c r="F25" i="66" s="1"/>
  <c r="F24" i="66"/>
  <c r="C24" i="66"/>
  <c r="E23" i="66"/>
  <c r="D23" i="66"/>
  <c r="E17" i="66"/>
  <c r="D17" i="66"/>
  <c r="F16" i="66"/>
  <c r="F11" i="66"/>
  <c r="F10" i="66"/>
  <c r="G6" i="66"/>
  <c r="G39" i="66" s="1"/>
  <c r="E6" i="66"/>
  <c r="D6" i="66"/>
  <c r="D39" i="66" s="1"/>
  <c r="F47" i="76" l="1"/>
  <c r="C47" i="77" s="1"/>
  <c r="C53" i="76"/>
  <c r="F53" i="76" s="1"/>
  <c r="C39" i="73"/>
  <c r="F50" i="66"/>
  <c r="F49" i="66"/>
  <c r="E39" i="66"/>
  <c r="F9" i="66"/>
  <c r="F44" i="66"/>
  <c r="F47" i="77" l="1"/>
  <c r="C47" i="79" s="1"/>
  <c r="C53" i="77"/>
  <c r="F53" i="77" s="1"/>
  <c r="F39" i="73"/>
  <c r="D12" i="65"/>
  <c r="E19" i="65"/>
  <c r="E36" i="65"/>
  <c r="E49" i="65"/>
  <c r="F47" i="79" l="1"/>
  <c r="C47" i="80" s="1"/>
  <c r="C53" i="79"/>
  <c r="F53" i="79" s="1"/>
  <c r="C40" i="75"/>
  <c r="C45" i="65"/>
  <c r="F45" i="65" s="1"/>
  <c r="C46" i="65"/>
  <c r="C47" i="65"/>
  <c r="C48" i="65"/>
  <c r="C49" i="65"/>
  <c r="F49" i="65" s="1"/>
  <c r="C36" i="65"/>
  <c r="C38" i="65"/>
  <c r="F48" i="65"/>
  <c r="F47" i="65"/>
  <c r="F46" i="65"/>
  <c r="C44" i="65"/>
  <c r="F44" i="65"/>
  <c r="C27" i="65"/>
  <c r="C28" i="65"/>
  <c r="C30" i="65"/>
  <c r="F30" i="65" s="1"/>
  <c r="C31" i="65"/>
  <c r="C32" i="65"/>
  <c r="C33" i="65"/>
  <c r="F33" i="65" s="1"/>
  <c r="C9" i="65"/>
  <c r="C10" i="65"/>
  <c r="C11" i="65"/>
  <c r="C13" i="65"/>
  <c r="F13" i="65" s="1"/>
  <c r="C14" i="65"/>
  <c r="C15" i="65"/>
  <c r="F15" i="65" s="1"/>
  <c r="C16" i="65"/>
  <c r="E50" i="65"/>
  <c r="D50" i="65"/>
  <c r="F41" i="65"/>
  <c r="E41" i="65"/>
  <c r="D41" i="65"/>
  <c r="C41" i="65"/>
  <c r="F38" i="65"/>
  <c r="E34" i="65"/>
  <c r="F36" i="65"/>
  <c r="G34" i="65"/>
  <c r="G23" i="65" s="1"/>
  <c r="D34" i="65"/>
  <c r="F32" i="65"/>
  <c r="F31" i="65"/>
  <c r="F28" i="65"/>
  <c r="F27" i="65"/>
  <c r="C25" i="65"/>
  <c r="F25" i="65" s="1"/>
  <c r="C24" i="65"/>
  <c r="E23" i="65"/>
  <c r="D23" i="65"/>
  <c r="E17" i="65"/>
  <c r="D17" i="65"/>
  <c r="F16" i="65"/>
  <c r="F14" i="65"/>
  <c r="F11" i="65"/>
  <c r="F10" i="65"/>
  <c r="F9" i="65"/>
  <c r="E6" i="65"/>
  <c r="G6" i="65"/>
  <c r="G39" i="65" s="1"/>
  <c r="D6" i="65"/>
  <c r="F47" i="80" l="1"/>
  <c r="C47" i="81" s="1"/>
  <c r="C53" i="80"/>
  <c r="F53" i="80" s="1"/>
  <c r="F40" i="75"/>
  <c r="C50" i="65"/>
  <c r="F50" i="65" s="1"/>
  <c r="D39" i="65"/>
  <c r="E39" i="65"/>
  <c r="F24" i="65"/>
  <c r="F31" i="64"/>
  <c r="E7" i="64"/>
  <c r="E6" i="64" s="1"/>
  <c r="E8" i="64"/>
  <c r="E19" i="64"/>
  <c r="E36" i="64"/>
  <c r="E49" i="64"/>
  <c r="C45" i="64"/>
  <c r="C46" i="64"/>
  <c r="C47" i="64"/>
  <c r="C48" i="64"/>
  <c r="F48" i="64" s="1"/>
  <c r="C49" i="64"/>
  <c r="C44" i="64"/>
  <c r="F44" i="64" s="1"/>
  <c r="E50" i="64"/>
  <c r="C36" i="64"/>
  <c r="C38" i="64"/>
  <c r="C27" i="64"/>
  <c r="C28" i="64"/>
  <c r="F28" i="64" s="1"/>
  <c r="C30" i="64"/>
  <c r="F30" i="64" s="1"/>
  <c r="C32" i="64"/>
  <c r="F32" i="64" s="1"/>
  <c r="C33" i="64"/>
  <c r="C9" i="64"/>
  <c r="C10" i="64"/>
  <c r="F10" i="64" s="1"/>
  <c r="C11" i="64"/>
  <c r="C13" i="64"/>
  <c r="F13" i="64" s="1"/>
  <c r="C14" i="64"/>
  <c r="F14" i="64" s="1"/>
  <c r="C15" i="64"/>
  <c r="F15" i="64" s="1"/>
  <c r="C16" i="64"/>
  <c r="F16" i="64" s="1"/>
  <c r="D50" i="64"/>
  <c r="F47" i="64"/>
  <c r="F46" i="64"/>
  <c r="F45" i="64"/>
  <c r="F41" i="64"/>
  <c r="E41" i="64"/>
  <c r="D41" i="64"/>
  <c r="C41" i="64"/>
  <c r="G39" i="64"/>
  <c r="F38" i="64"/>
  <c r="F36" i="64"/>
  <c r="G34" i="64"/>
  <c r="E34" i="64"/>
  <c r="D34" i="64"/>
  <c r="F33" i="64"/>
  <c r="F27" i="64"/>
  <c r="C25" i="64"/>
  <c r="F25" i="64" s="1"/>
  <c r="C24" i="64"/>
  <c r="F24" i="64" s="1"/>
  <c r="G23" i="64"/>
  <c r="D23" i="64"/>
  <c r="D17" i="64"/>
  <c r="F11" i="64"/>
  <c r="F9" i="64"/>
  <c r="G6" i="64"/>
  <c r="D6" i="64"/>
  <c r="D39" i="64" s="1"/>
  <c r="F47" i="81" l="1"/>
  <c r="C47" i="82" s="1"/>
  <c r="C53" i="81"/>
  <c r="F53" i="81" s="1"/>
  <c r="C41" i="76"/>
  <c r="E17" i="64"/>
  <c r="F49" i="64"/>
  <c r="E23" i="64"/>
  <c r="C50" i="64"/>
  <c r="F50" i="64" s="1"/>
  <c r="E7" i="63"/>
  <c r="E23" i="63"/>
  <c r="D23" i="63"/>
  <c r="E32" i="63"/>
  <c r="E19" i="63"/>
  <c r="D12" i="63"/>
  <c r="F49" i="63"/>
  <c r="E48" i="63"/>
  <c r="F44" i="63"/>
  <c r="F47" i="82" l="1"/>
  <c r="C47" i="83" s="1"/>
  <c r="C54" i="82"/>
  <c r="F54" i="82" s="1"/>
  <c r="F41" i="76"/>
  <c r="E39" i="64"/>
  <c r="C44" i="63"/>
  <c r="C45" i="63"/>
  <c r="C46" i="63"/>
  <c r="C47" i="63"/>
  <c r="C48" i="63"/>
  <c r="C43" i="63"/>
  <c r="C10" i="63"/>
  <c r="F10" i="63" s="1"/>
  <c r="C54" i="83" l="1"/>
  <c r="F54" i="83" s="1"/>
  <c r="F47" i="83"/>
  <c r="C47" i="84" s="1"/>
  <c r="C41" i="77"/>
  <c r="F41" i="77" s="1"/>
  <c r="C41" i="79" s="1"/>
  <c r="F41" i="79" s="1"/>
  <c r="C41" i="80" s="1"/>
  <c r="F41" i="80" s="1"/>
  <c r="C41" i="81" s="1"/>
  <c r="C35" i="63"/>
  <c r="F35" i="63" s="1"/>
  <c r="C37" i="63"/>
  <c r="C27" i="63"/>
  <c r="F27" i="63" s="1"/>
  <c r="C28" i="63"/>
  <c r="C30" i="63"/>
  <c r="F30" i="63" s="1"/>
  <c r="C31" i="63"/>
  <c r="F31" i="63" s="1"/>
  <c r="C32" i="63"/>
  <c r="F32" i="63" s="1"/>
  <c r="C9" i="63"/>
  <c r="F9" i="63" s="1"/>
  <c r="C11" i="63"/>
  <c r="C13" i="63"/>
  <c r="C14" i="63"/>
  <c r="C15" i="63"/>
  <c r="C16" i="63"/>
  <c r="F16" i="63" s="1"/>
  <c r="E49" i="63"/>
  <c r="D49" i="63"/>
  <c r="F48" i="63"/>
  <c r="F47" i="63"/>
  <c r="F46" i="63"/>
  <c r="F45" i="63"/>
  <c r="F40" i="63"/>
  <c r="E40" i="63"/>
  <c r="D40" i="63"/>
  <c r="C40" i="63"/>
  <c r="F37" i="63"/>
  <c r="G33" i="63"/>
  <c r="G23" i="63" s="1"/>
  <c r="E33" i="63"/>
  <c r="D33" i="63"/>
  <c r="F28" i="63"/>
  <c r="C25" i="63"/>
  <c r="F25" i="63" s="1"/>
  <c r="F24" i="63"/>
  <c r="C24" i="63"/>
  <c r="E17" i="63"/>
  <c r="D17" i="63"/>
  <c r="F15" i="63"/>
  <c r="F14" i="63"/>
  <c r="F13" i="63"/>
  <c r="F11" i="63"/>
  <c r="E6" i="63"/>
  <c r="D6" i="63"/>
  <c r="G6" i="63"/>
  <c r="F47" i="84" l="1"/>
  <c r="C54" i="84"/>
  <c r="F54" i="84" s="1"/>
  <c r="F41" i="81"/>
  <c r="C49" i="63"/>
  <c r="F43" i="63"/>
  <c r="G38" i="63"/>
  <c r="D38" i="63"/>
  <c r="E38" i="63"/>
  <c r="E7" i="62"/>
  <c r="E19" i="62"/>
  <c r="D7" i="62"/>
  <c r="C41" i="82" l="1"/>
  <c r="F49" i="62"/>
  <c r="F44" i="62"/>
  <c r="E48" i="62"/>
  <c r="F48" i="62" s="1"/>
  <c r="C44" i="62"/>
  <c r="C45" i="62"/>
  <c r="C46" i="62"/>
  <c r="F46" i="62" s="1"/>
  <c r="C47" i="62"/>
  <c r="C48" i="62"/>
  <c r="C43" i="62"/>
  <c r="F43" i="62" s="1"/>
  <c r="C35" i="62"/>
  <c r="C37" i="62"/>
  <c r="C34" i="62"/>
  <c r="C27" i="62"/>
  <c r="F28" i="62"/>
  <c r="C29" i="62"/>
  <c r="C30" i="62"/>
  <c r="C31" i="62"/>
  <c r="C32" i="62"/>
  <c r="F32" i="62" s="1"/>
  <c r="C26" i="62"/>
  <c r="C9" i="62"/>
  <c r="F9" i="62" s="1"/>
  <c r="C10" i="62"/>
  <c r="F10" i="62" s="1"/>
  <c r="C11" i="62"/>
  <c r="C13" i="62"/>
  <c r="C14" i="62"/>
  <c r="C15" i="62"/>
  <c r="C16" i="62"/>
  <c r="F16" i="62" s="1"/>
  <c r="D49" i="62"/>
  <c r="F47" i="62"/>
  <c r="F45" i="62"/>
  <c r="F40" i="62"/>
  <c r="E40" i="62"/>
  <c r="D40" i="62"/>
  <c r="C40" i="62"/>
  <c r="F37" i="62"/>
  <c r="F35" i="62"/>
  <c r="G33" i="62"/>
  <c r="G23" i="62" s="1"/>
  <c r="E33" i="62"/>
  <c r="D33" i="62"/>
  <c r="F31" i="62"/>
  <c r="F30" i="62"/>
  <c r="F29" i="62"/>
  <c r="C29" i="63" s="1"/>
  <c r="F27" i="62"/>
  <c r="F26" i="62"/>
  <c r="C26" i="63" s="1"/>
  <c r="F26" i="63" s="1"/>
  <c r="C26" i="64" s="1"/>
  <c r="F26" i="64" s="1"/>
  <c r="C26" i="65" s="1"/>
  <c r="F26" i="65" s="1"/>
  <c r="C26" i="66" s="1"/>
  <c r="F26" i="66" s="1"/>
  <c r="F25" i="62"/>
  <c r="C25" i="62"/>
  <c r="C24" i="62"/>
  <c r="F24" i="62" s="1"/>
  <c r="E23" i="62"/>
  <c r="D23" i="62"/>
  <c r="E17" i="62"/>
  <c r="D17" i="62"/>
  <c r="F15" i="62"/>
  <c r="F14" i="62"/>
  <c r="F13" i="62"/>
  <c r="F11" i="62"/>
  <c r="E6" i="62"/>
  <c r="D6" i="62"/>
  <c r="G6" i="62"/>
  <c r="G38" i="62" s="1"/>
  <c r="F41" i="82" l="1"/>
  <c r="C26" i="67"/>
  <c r="F29" i="63"/>
  <c r="C23" i="63"/>
  <c r="E49" i="62"/>
  <c r="D38" i="62"/>
  <c r="E38" i="62"/>
  <c r="F23" i="62"/>
  <c r="C23" i="62"/>
  <c r="C49" i="62"/>
  <c r="F34" i="62"/>
  <c r="C34" i="63" s="1"/>
  <c r="F34" i="63" s="1"/>
  <c r="C35" i="64" s="1"/>
  <c r="F35" i="64" s="1"/>
  <c r="C35" i="65" s="1"/>
  <c r="F35" i="65" s="1"/>
  <c r="C35" i="66" s="1"/>
  <c r="F35" i="66" s="1"/>
  <c r="C35" i="67" s="1"/>
  <c r="F35" i="67" s="1"/>
  <c r="F34" i="68" s="1"/>
  <c r="C34" i="69" s="1"/>
  <c r="F44" i="61"/>
  <c r="F49" i="61"/>
  <c r="F46" i="61"/>
  <c r="F48" i="61"/>
  <c r="E48" i="61"/>
  <c r="E12" i="61"/>
  <c r="D7" i="61"/>
  <c r="C41" i="83" l="1"/>
  <c r="F34" i="69"/>
  <c r="F26" i="67"/>
  <c r="F26" i="68"/>
  <c r="C26" i="69" s="1"/>
  <c r="C29" i="64"/>
  <c r="F23" i="63"/>
  <c r="E19" i="61"/>
  <c r="F41" i="83" l="1"/>
  <c r="F26" i="69"/>
  <c r="C34" i="70"/>
  <c r="F29" i="64"/>
  <c r="C23" i="64"/>
  <c r="C35" i="61"/>
  <c r="C37" i="61"/>
  <c r="C34" i="61"/>
  <c r="C41" i="84" l="1"/>
  <c r="F34" i="70"/>
  <c r="C26" i="70"/>
  <c r="C29" i="65"/>
  <c r="F23" i="64"/>
  <c r="C44" i="61"/>
  <c r="C45" i="61"/>
  <c r="F45" i="61" s="1"/>
  <c r="C46" i="61"/>
  <c r="C47" i="61"/>
  <c r="F47" i="61" s="1"/>
  <c r="C48" i="61"/>
  <c r="C43" i="61"/>
  <c r="F43" i="61" s="1"/>
  <c r="F34" i="61"/>
  <c r="C27" i="61"/>
  <c r="C29" i="61"/>
  <c r="C30" i="61"/>
  <c r="C31" i="61"/>
  <c r="C32" i="61"/>
  <c r="F32" i="61" s="1"/>
  <c r="C26" i="61"/>
  <c r="F26" i="61" s="1"/>
  <c r="C9" i="61"/>
  <c r="F9" i="61" s="1"/>
  <c r="C10" i="61"/>
  <c r="C11" i="61"/>
  <c r="C13" i="61"/>
  <c r="F13" i="61" s="1"/>
  <c r="C14" i="61"/>
  <c r="C15" i="61"/>
  <c r="C16" i="61"/>
  <c r="F16" i="61" s="1"/>
  <c r="E49" i="61"/>
  <c r="D49" i="61"/>
  <c r="F40" i="61"/>
  <c r="E40" i="61"/>
  <c r="D40" i="61"/>
  <c r="C40" i="61"/>
  <c r="F37" i="61"/>
  <c r="G33" i="61"/>
  <c r="G23" i="61" s="1"/>
  <c r="E33" i="61"/>
  <c r="D33" i="61"/>
  <c r="F31" i="61"/>
  <c r="F30" i="61"/>
  <c r="F29" i="61"/>
  <c r="F27" i="61"/>
  <c r="F25" i="61"/>
  <c r="C25" i="61"/>
  <c r="C24" i="61"/>
  <c r="F24" i="61" s="1"/>
  <c r="E23" i="61"/>
  <c r="D23" i="61"/>
  <c r="E17" i="61"/>
  <c r="D17" i="61"/>
  <c r="F15" i="61"/>
  <c r="F14" i="61"/>
  <c r="F11" i="61"/>
  <c r="F10" i="61"/>
  <c r="E6" i="61"/>
  <c r="G6" i="61"/>
  <c r="G38" i="61" s="1"/>
  <c r="D6" i="61"/>
  <c r="F41" i="84" l="1"/>
  <c r="F26" i="70"/>
  <c r="C34" i="71"/>
  <c r="F29" i="65"/>
  <c r="C23" i="65"/>
  <c r="D38" i="61"/>
  <c r="E38" i="61"/>
  <c r="C49" i="61"/>
  <c r="F35" i="61"/>
  <c r="F44" i="60"/>
  <c r="C49" i="60"/>
  <c r="E48" i="60"/>
  <c r="D48" i="60"/>
  <c r="D12" i="60"/>
  <c r="E22" i="56"/>
  <c r="E23" i="60"/>
  <c r="E31" i="60"/>
  <c r="F32" i="60"/>
  <c r="F34" i="71" l="1"/>
  <c r="C26" i="71"/>
  <c r="C29" i="66"/>
  <c r="F23" i="65"/>
  <c r="E20" i="56"/>
  <c r="C33" i="57"/>
  <c r="F26" i="71" l="1"/>
  <c r="C34" i="73"/>
  <c r="F29" i="66"/>
  <c r="C23" i="66"/>
  <c r="E49" i="60"/>
  <c r="D49" i="60"/>
  <c r="F40" i="60"/>
  <c r="E40" i="60"/>
  <c r="D40" i="60"/>
  <c r="C40" i="60"/>
  <c r="G33" i="60"/>
  <c r="G23" i="60" s="1"/>
  <c r="G38" i="60" s="1"/>
  <c r="E33" i="60"/>
  <c r="D33" i="60"/>
  <c r="C24" i="60"/>
  <c r="F24" i="60" s="1"/>
  <c r="D23" i="60"/>
  <c r="E17" i="60"/>
  <c r="D17" i="60"/>
  <c r="E6" i="60"/>
  <c r="G6" i="60"/>
  <c r="D6" i="60"/>
  <c r="C27" i="84" l="1"/>
  <c r="C27" i="83"/>
  <c r="C27" i="82"/>
  <c r="C27" i="81"/>
  <c r="F34" i="73"/>
  <c r="C27" i="80"/>
  <c r="C27" i="79"/>
  <c r="C27" i="77"/>
  <c r="C27" i="76"/>
  <c r="C26" i="75"/>
  <c r="C26" i="73"/>
  <c r="F23" i="66"/>
  <c r="C29" i="67"/>
  <c r="E38" i="60"/>
  <c r="D38" i="60"/>
  <c r="D12" i="59"/>
  <c r="E19" i="59"/>
  <c r="E22" i="59"/>
  <c r="E35" i="59"/>
  <c r="F27" i="81" l="1"/>
  <c r="F27" i="82"/>
  <c r="F27" i="83"/>
  <c r="F27" i="84"/>
  <c r="F26" i="73"/>
  <c r="F26" i="75"/>
  <c r="F27" i="79"/>
  <c r="F27" i="80"/>
  <c r="F27" i="77"/>
  <c r="F27" i="76"/>
  <c r="C34" i="75"/>
  <c r="F29" i="67"/>
  <c r="F23" i="67" s="1"/>
  <c r="C23" i="67"/>
  <c r="F29" i="68"/>
  <c r="E48" i="59"/>
  <c r="D48" i="59"/>
  <c r="F39" i="59"/>
  <c r="E39" i="59"/>
  <c r="D39" i="59"/>
  <c r="C39" i="59"/>
  <c r="G32" i="59"/>
  <c r="G23" i="59" s="1"/>
  <c r="E32" i="59"/>
  <c r="D32" i="59"/>
  <c r="F24" i="59"/>
  <c r="C24" i="59"/>
  <c r="E23" i="59"/>
  <c r="D23" i="59"/>
  <c r="D17" i="59"/>
  <c r="G6" i="59"/>
  <c r="G37" i="59" s="1"/>
  <c r="E6" i="59"/>
  <c r="D6" i="59"/>
  <c r="F34" i="75" l="1"/>
  <c r="C29" i="69"/>
  <c r="D37" i="59"/>
  <c r="E17" i="59"/>
  <c r="E37" i="59" s="1"/>
  <c r="D12" i="58"/>
  <c r="E19" i="58"/>
  <c r="E17" i="58" s="1"/>
  <c r="E48" i="58"/>
  <c r="D48" i="58"/>
  <c r="F39" i="58"/>
  <c r="E39" i="58"/>
  <c r="D39" i="58"/>
  <c r="C39" i="58"/>
  <c r="G32" i="58"/>
  <c r="G23" i="58" s="1"/>
  <c r="E32" i="58"/>
  <c r="D32" i="58"/>
  <c r="C24" i="58"/>
  <c r="F24" i="58" s="1"/>
  <c r="E23" i="58"/>
  <c r="D23" i="58"/>
  <c r="D17" i="58"/>
  <c r="G6" i="58"/>
  <c r="G37" i="58" s="1"/>
  <c r="F29" i="69" l="1"/>
  <c r="C23" i="69"/>
  <c r="C35" i="76"/>
  <c r="E6" i="58"/>
  <c r="E37" i="58" s="1"/>
  <c r="D6" i="58"/>
  <c r="D37" i="58" s="1"/>
  <c r="E7" i="57"/>
  <c r="D12" i="57"/>
  <c r="F35" i="76" l="1"/>
  <c r="C29" i="70"/>
  <c r="F23" i="69"/>
  <c r="D7" i="57"/>
  <c r="F29" i="70" l="1"/>
  <c r="C23" i="70"/>
  <c r="C35" i="77"/>
  <c r="E22" i="57"/>
  <c r="E12" i="57"/>
  <c r="E20" i="57"/>
  <c r="F35" i="77" l="1"/>
  <c r="C29" i="71"/>
  <c r="F23" i="70"/>
  <c r="E47" i="57"/>
  <c r="F29" i="71" l="1"/>
  <c r="C23" i="71"/>
  <c r="C35" i="79"/>
  <c r="E48" i="57"/>
  <c r="D48" i="57"/>
  <c r="F39" i="57"/>
  <c r="E39" i="57"/>
  <c r="D39" i="57"/>
  <c r="C39" i="57"/>
  <c r="G32" i="57"/>
  <c r="E32" i="57"/>
  <c r="D32" i="57"/>
  <c r="C24" i="57"/>
  <c r="F24" i="57" s="1"/>
  <c r="G23" i="57"/>
  <c r="G37" i="57" s="1"/>
  <c r="E23" i="57"/>
  <c r="D23" i="57"/>
  <c r="D17" i="57"/>
  <c r="G6" i="57"/>
  <c r="E6" i="57"/>
  <c r="D6" i="57"/>
  <c r="F35" i="79" l="1"/>
  <c r="C29" i="73"/>
  <c r="F23" i="71"/>
  <c r="D37" i="57"/>
  <c r="E17" i="57"/>
  <c r="E37" i="57" s="1"/>
  <c r="C35" i="80" l="1"/>
  <c r="F29" i="73"/>
  <c r="C23" i="73"/>
  <c r="D45" i="56"/>
  <c r="E45" i="56"/>
  <c r="F35" i="80" l="1"/>
  <c r="C35" i="81" s="1"/>
  <c r="C29" i="75"/>
  <c r="F23" i="73"/>
  <c r="F45" i="56"/>
  <c r="C45" i="57" s="1"/>
  <c r="F45" i="57" s="1"/>
  <c r="C45" i="58" s="1"/>
  <c r="F45" i="58" s="1"/>
  <c r="C45" i="59" s="1"/>
  <c r="F45" i="59" s="1"/>
  <c r="C46" i="60" s="1"/>
  <c r="F46" i="60" s="1"/>
  <c r="C43" i="56"/>
  <c r="C44" i="56"/>
  <c r="C45" i="56"/>
  <c r="C46" i="56"/>
  <c r="C47" i="56"/>
  <c r="C42" i="56"/>
  <c r="F35" i="81" l="1"/>
  <c r="F29" i="75"/>
  <c r="C23" i="75"/>
  <c r="C34" i="56"/>
  <c r="C36" i="56"/>
  <c r="C35" i="56"/>
  <c r="C26" i="56"/>
  <c r="C27" i="56"/>
  <c r="C28" i="56"/>
  <c r="C29" i="56"/>
  <c r="C30" i="56"/>
  <c r="C31" i="56"/>
  <c r="C25" i="56"/>
  <c r="C9" i="56"/>
  <c r="C10" i="56"/>
  <c r="C11" i="56"/>
  <c r="C12" i="56"/>
  <c r="C14" i="56"/>
  <c r="C15" i="56"/>
  <c r="C16" i="56"/>
  <c r="C7" i="56"/>
  <c r="C35" i="82" l="1"/>
  <c r="C30" i="76"/>
  <c r="F23" i="75"/>
  <c r="F33" i="57"/>
  <c r="E48" i="56"/>
  <c r="D48" i="56"/>
  <c r="F47" i="56"/>
  <c r="C47" i="57" s="1"/>
  <c r="F47" i="57" s="1"/>
  <c r="C47" i="58" s="1"/>
  <c r="F47" i="58" s="1"/>
  <c r="C47" i="59" s="1"/>
  <c r="F47" i="59" s="1"/>
  <c r="C48" i="60" s="1"/>
  <c r="F48" i="60" s="1"/>
  <c r="F46" i="56"/>
  <c r="C46" i="57" s="1"/>
  <c r="F46" i="57" s="1"/>
  <c r="C46" i="58" s="1"/>
  <c r="F46" i="58" s="1"/>
  <c r="C46" i="59" s="1"/>
  <c r="F46" i="59" s="1"/>
  <c r="C47" i="60" s="1"/>
  <c r="F47" i="60" s="1"/>
  <c r="F44" i="56"/>
  <c r="C44" i="57" s="1"/>
  <c r="F44" i="57" s="1"/>
  <c r="C44" i="58" s="1"/>
  <c r="F44" i="58" s="1"/>
  <c r="C44" i="59" s="1"/>
  <c r="F44" i="59" s="1"/>
  <c r="C45" i="60" s="1"/>
  <c r="F45" i="60" s="1"/>
  <c r="F43" i="56"/>
  <c r="C43" i="57" s="1"/>
  <c r="F43" i="57" s="1"/>
  <c r="C43" i="58" s="1"/>
  <c r="F43" i="58" s="1"/>
  <c r="C43" i="59" s="1"/>
  <c r="F43" i="59" s="1"/>
  <c r="C44" i="60" s="1"/>
  <c r="F42" i="56"/>
  <c r="C42" i="57" s="1"/>
  <c r="F39" i="56"/>
  <c r="E39" i="56"/>
  <c r="D39" i="56"/>
  <c r="C39" i="56"/>
  <c r="F36" i="56"/>
  <c r="C36" i="57" s="1"/>
  <c r="F36" i="57" s="1"/>
  <c r="C36" i="58" s="1"/>
  <c r="F36" i="58" s="1"/>
  <c r="C36" i="59" s="1"/>
  <c r="F36" i="59" s="1"/>
  <c r="C37" i="60" s="1"/>
  <c r="F37" i="60" s="1"/>
  <c r="F35" i="56"/>
  <c r="F34" i="56"/>
  <c r="C34" i="57" s="1"/>
  <c r="F34" i="57" s="1"/>
  <c r="C34" i="58" s="1"/>
  <c r="F34" i="58" s="1"/>
  <c r="C34" i="59" s="1"/>
  <c r="F34" i="59" s="1"/>
  <c r="C35" i="60" s="1"/>
  <c r="F35" i="60" s="1"/>
  <c r="G32" i="56"/>
  <c r="G23" i="56" s="1"/>
  <c r="E32" i="56"/>
  <c r="D32" i="56"/>
  <c r="F31" i="56"/>
  <c r="C31" i="57" s="1"/>
  <c r="F31" i="57" s="1"/>
  <c r="C31" i="58" s="1"/>
  <c r="F31" i="58" s="1"/>
  <c r="C31" i="59" s="1"/>
  <c r="F31" i="59" s="1"/>
  <c r="C31" i="60" s="1"/>
  <c r="F31" i="60" s="1"/>
  <c r="F30" i="56"/>
  <c r="C30" i="57" s="1"/>
  <c r="F30" i="57" s="1"/>
  <c r="C30" i="58" s="1"/>
  <c r="F30" i="58" s="1"/>
  <c r="C30" i="59" s="1"/>
  <c r="F30" i="59" s="1"/>
  <c r="C30" i="60" s="1"/>
  <c r="F30" i="60" s="1"/>
  <c r="F29" i="56"/>
  <c r="C29" i="57" s="1"/>
  <c r="F29" i="57" s="1"/>
  <c r="C29" i="58" s="1"/>
  <c r="F29" i="58" s="1"/>
  <c r="C29" i="59" s="1"/>
  <c r="F29" i="59" s="1"/>
  <c r="C29" i="60" s="1"/>
  <c r="F29" i="60" s="1"/>
  <c r="F28" i="56"/>
  <c r="C28" i="57" s="1"/>
  <c r="F28" i="57" s="1"/>
  <c r="C28" i="58" s="1"/>
  <c r="F28" i="58" s="1"/>
  <c r="C28" i="59" s="1"/>
  <c r="F28" i="59" s="1"/>
  <c r="C28" i="60" s="1"/>
  <c r="F28" i="60" s="1"/>
  <c r="C28" i="61" s="1"/>
  <c r="F27" i="56"/>
  <c r="C27" i="57" s="1"/>
  <c r="F27" i="57" s="1"/>
  <c r="C27" i="58" s="1"/>
  <c r="F27" i="58" s="1"/>
  <c r="C27" i="59" s="1"/>
  <c r="F27" i="59" s="1"/>
  <c r="C27" i="60" s="1"/>
  <c r="F27" i="60" s="1"/>
  <c r="F26" i="56"/>
  <c r="C26" i="57" s="1"/>
  <c r="F26" i="57" s="1"/>
  <c r="C26" i="58" s="1"/>
  <c r="F26" i="58" s="1"/>
  <c r="C26" i="59" s="1"/>
  <c r="F26" i="59" s="1"/>
  <c r="C26" i="60" s="1"/>
  <c r="F26" i="60" s="1"/>
  <c r="F25" i="56"/>
  <c r="C24" i="56"/>
  <c r="C23" i="56" s="1"/>
  <c r="E23" i="56"/>
  <c r="D23" i="56"/>
  <c r="F22" i="56"/>
  <c r="C22" i="57" s="1"/>
  <c r="F22" i="57" s="1"/>
  <c r="C22" i="58" s="1"/>
  <c r="F22" i="58" s="1"/>
  <c r="C22" i="59" s="1"/>
  <c r="F22" i="59" s="1"/>
  <c r="C22" i="60" s="1"/>
  <c r="F22" i="60" s="1"/>
  <c r="C22" i="61" s="1"/>
  <c r="F22" i="61" s="1"/>
  <c r="C22" i="62" s="1"/>
  <c r="F22" i="62" s="1"/>
  <c r="C22" i="63" s="1"/>
  <c r="F22" i="63" s="1"/>
  <c r="C22" i="64" s="1"/>
  <c r="F22" i="64" s="1"/>
  <c r="C22" i="65" s="1"/>
  <c r="F22" i="65" s="1"/>
  <c r="C22" i="66" s="1"/>
  <c r="F22" i="66" s="1"/>
  <c r="F21" i="56"/>
  <c r="C21" i="57" s="1"/>
  <c r="F21" i="57" s="1"/>
  <c r="C21" i="58" s="1"/>
  <c r="F21" i="58" s="1"/>
  <c r="C21" i="59" s="1"/>
  <c r="F21" i="59" s="1"/>
  <c r="C21" i="60" s="1"/>
  <c r="F21" i="60" s="1"/>
  <c r="C21" i="61" s="1"/>
  <c r="F21" i="61" s="1"/>
  <c r="C21" i="62" s="1"/>
  <c r="F21" i="62" s="1"/>
  <c r="C21" i="63" s="1"/>
  <c r="F21" i="63" s="1"/>
  <c r="C21" i="64" s="1"/>
  <c r="F21" i="64" s="1"/>
  <c r="C21" i="65" s="1"/>
  <c r="F21" i="65" s="1"/>
  <c r="C21" i="66" s="1"/>
  <c r="F21" i="66" s="1"/>
  <c r="F20" i="56"/>
  <c r="C20" i="57" s="1"/>
  <c r="F19" i="56"/>
  <c r="C19" i="57" s="1"/>
  <c r="F19" i="57" s="1"/>
  <c r="C19" i="58" s="1"/>
  <c r="F19" i="58" s="1"/>
  <c r="C19" i="59" s="1"/>
  <c r="F19" i="59" s="1"/>
  <c r="C19" i="60" s="1"/>
  <c r="F19" i="60" s="1"/>
  <c r="C19" i="61" s="1"/>
  <c r="F19" i="61" s="1"/>
  <c r="C19" i="62" s="1"/>
  <c r="F19" i="62" s="1"/>
  <c r="C19" i="63" s="1"/>
  <c r="F19" i="63" s="1"/>
  <c r="C19" i="64" s="1"/>
  <c r="F19" i="64" s="1"/>
  <c r="C19" i="65" s="1"/>
  <c r="F19" i="65" s="1"/>
  <c r="C19" i="66" s="1"/>
  <c r="F19" i="66" s="1"/>
  <c r="F18" i="56"/>
  <c r="C18" i="57" s="1"/>
  <c r="F18" i="57" s="1"/>
  <c r="C18" i="58" s="1"/>
  <c r="F18" i="58" s="1"/>
  <c r="C18" i="59" s="1"/>
  <c r="F18" i="59" s="1"/>
  <c r="C18" i="60" s="1"/>
  <c r="F18" i="60" s="1"/>
  <c r="C18" i="61" s="1"/>
  <c r="E17" i="56"/>
  <c r="D17" i="56"/>
  <c r="C17" i="56"/>
  <c r="C37" i="56" s="1"/>
  <c r="C49" i="56" s="1"/>
  <c r="F16" i="56"/>
  <c r="C16" i="57" s="1"/>
  <c r="F16" i="57" s="1"/>
  <c r="C16" i="58" s="1"/>
  <c r="F16" i="58" s="1"/>
  <c r="C16" i="59" s="1"/>
  <c r="F16" i="59" s="1"/>
  <c r="C16" i="60" s="1"/>
  <c r="F16" i="60" s="1"/>
  <c r="F15" i="56"/>
  <c r="C15" i="57" s="1"/>
  <c r="F15" i="57" s="1"/>
  <c r="C15" i="58" s="1"/>
  <c r="F15" i="58" s="1"/>
  <c r="C15" i="59" s="1"/>
  <c r="F15" i="59" s="1"/>
  <c r="C15" i="60" s="1"/>
  <c r="F15" i="60" s="1"/>
  <c r="F14" i="56"/>
  <c r="C14" i="57" s="1"/>
  <c r="F14" i="57" s="1"/>
  <c r="C14" i="58" s="1"/>
  <c r="F14" i="58" s="1"/>
  <c r="C14" i="59" s="1"/>
  <c r="F14" i="59" s="1"/>
  <c r="C14" i="60" s="1"/>
  <c r="F14" i="60" s="1"/>
  <c r="F12" i="56"/>
  <c r="C12" i="57" s="1"/>
  <c r="F12" i="57" s="1"/>
  <c r="C12" i="58" s="1"/>
  <c r="F12" i="58" s="1"/>
  <c r="C12" i="59" s="1"/>
  <c r="F12" i="59" s="1"/>
  <c r="C12" i="60" s="1"/>
  <c r="F12" i="60" s="1"/>
  <c r="C12" i="61" s="1"/>
  <c r="F12" i="61" s="1"/>
  <c r="C12" i="62" s="1"/>
  <c r="F12" i="62" s="1"/>
  <c r="C12" i="63" s="1"/>
  <c r="F12" i="63" s="1"/>
  <c r="C12" i="64" s="1"/>
  <c r="F12" i="64" s="1"/>
  <c r="C12" i="65" s="1"/>
  <c r="F12" i="65" s="1"/>
  <c r="C12" i="66" s="1"/>
  <c r="F12" i="66" s="1"/>
  <c r="F11" i="56"/>
  <c r="C11" i="57" s="1"/>
  <c r="F11" i="57" s="1"/>
  <c r="C11" i="58" s="1"/>
  <c r="F11" i="58" s="1"/>
  <c r="C11" i="59" s="1"/>
  <c r="F11" i="59" s="1"/>
  <c r="C11" i="60" s="1"/>
  <c r="F11" i="60" s="1"/>
  <c r="F10" i="56"/>
  <c r="C10" i="57" s="1"/>
  <c r="F10" i="57" s="1"/>
  <c r="C10" i="58" s="1"/>
  <c r="F10" i="58" s="1"/>
  <c r="C10" i="59" s="1"/>
  <c r="F10" i="59" s="1"/>
  <c r="C10" i="60" s="1"/>
  <c r="F10" i="60" s="1"/>
  <c r="F9" i="56"/>
  <c r="C9" i="57" s="1"/>
  <c r="F9" i="57" s="1"/>
  <c r="C9" i="58" s="1"/>
  <c r="F9" i="58" s="1"/>
  <c r="C9" i="59" s="1"/>
  <c r="F9" i="59" s="1"/>
  <c r="C9" i="60" s="1"/>
  <c r="F9" i="60" s="1"/>
  <c r="E6" i="56"/>
  <c r="D6" i="56"/>
  <c r="F7" i="56"/>
  <c r="C7" i="57" s="1"/>
  <c r="G6" i="56"/>
  <c r="F35" i="82" l="1"/>
  <c r="F30" i="76"/>
  <c r="C24" i="76"/>
  <c r="F28" i="61"/>
  <c r="F23" i="61" s="1"/>
  <c r="C23" i="61"/>
  <c r="F19" i="68"/>
  <c r="C19" i="69" s="1"/>
  <c r="F19" i="69" s="1"/>
  <c r="C19" i="70" s="1"/>
  <c r="F19" i="70" s="1"/>
  <c r="C19" i="71" s="1"/>
  <c r="F19" i="71" s="1"/>
  <c r="C19" i="67"/>
  <c r="F19" i="67" s="1"/>
  <c r="F21" i="68"/>
  <c r="C21" i="69" s="1"/>
  <c r="F21" i="69" s="1"/>
  <c r="C21" i="70" s="1"/>
  <c r="F21" i="70" s="1"/>
  <c r="C21" i="71" s="1"/>
  <c r="F21" i="71" s="1"/>
  <c r="C21" i="73" s="1"/>
  <c r="F21" i="73" s="1"/>
  <c r="C21" i="75" s="1"/>
  <c r="F21" i="75" s="1"/>
  <c r="C22" i="76" s="1"/>
  <c r="F22" i="76" s="1"/>
  <c r="C22" i="77" s="1"/>
  <c r="F22" i="77" s="1"/>
  <c r="C22" i="79" s="1"/>
  <c r="F22" i="79" s="1"/>
  <c r="C22" i="80" s="1"/>
  <c r="F22" i="80" s="1"/>
  <c r="C22" i="81" s="1"/>
  <c r="F22" i="81" s="1"/>
  <c r="C22" i="82" s="1"/>
  <c r="F22" i="82" s="1"/>
  <c r="C22" i="83" s="1"/>
  <c r="F22" i="83" s="1"/>
  <c r="C22" i="84" s="1"/>
  <c r="F22" i="84" s="1"/>
  <c r="C21" i="67"/>
  <c r="F21" i="67" s="1"/>
  <c r="F22" i="68"/>
  <c r="C22" i="69" s="1"/>
  <c r="F22" i="69" s="1"/>
  <c r="C22" i="70" s="1"/>
  <c r="F22" i="70" s="1"/>
  <c r="C22" i="71" s="1"/>
  <c r="F22" i="71" s="1"/>
  <c r="C22" i="73" s="1"/>
  <c r="F22" i="73" s="1"/>
  <c r="C22" i="75" s="1"/>
  <c r="F22" i="75" s="1"/>
  <c r="C23" i="76" s="1"/>
  <c r="F23" i="76" s="1"/>
  <c r="C23" i="77" s="1"/>
  <c r="F23" i="77" s="1"/>
  <c r="C23" i="79" s="1"/>
  <c r="F23" i="79" s="1"/>
  <c r="C23" i="80" s="1"/>
  <c r="F23" i="80" s="1"/>
  <c r="C23" i="81" s="1"/>
  <c r="F23" i="81" s="1"/>
  <c r="C23" i="82" s="1"/>
  <c r="F23" i="82" s="1"/>
  <c r="C23" i="83" s="1"/>
  <c r="F23" i="83" s="1"/>
  <c r="C23" i="84" s="1"/>
  <c r="F23" i="84" s="1"/>
  <c r="C22" i="67"/>
  <c r="F22" i="67" s="1"/>
  <c r="F12" i="68"/>
  <c r="C12" i="69" s="1"/>
  <c r="F12" i="69" s="1"/>
  <c r="C12" i="70" s="1"/>
  <c r="F12" i="70" s="1"/>
  <c r="C12" i="71" s="1"/>
  <c r="F12" i="71" s="1"/>
  <c r="C12" i="73" s="1"/>
  <c r="F12" i="73" s="1"/>
  <c r="C12" i="75" s="1"/>
  <c r="F12" i="75" s="1"/>
  <c r="C12" i="76" s="1"/>
  <c r="F12" i="76" s="1"/>
  <c r="C12" i="77" s="1"/>
  <c r="F12" i="77" s="1"/>
  <c r="C12" i="79" s="1"/>
  <c r="F12" i="79" s="1"/>
  <c r="C12" i="80" s="1"/>
  <c r="F12" i="80" s="1"/>
  <c r="C12" i="81" s="1"/>
  <c r="F12" i="81" s="1"/>
  <c r="C12" i="82" s="1"/>
  <c r="F12" i="82" s="1"/>
  <c r="C12" i="83" s="1"/>
  <c r="F12" i="83" s="1"/>
  <c r="C12" i="84" s="1"/>
  <c r="F12" i="84" s="1"/>
  <c r="C12" i="67"/>
  <c r="F12" i="67" s="1"/>
  <c r="C35" i="57"/>
  <c r="F32" i="56"/>
  <c r="F18" i="61"/>
  <c r="C25" i="60"/>
  <c r="C25" i="59"/>
  <c r="C25" i="58"/>
  <c r="C25" i="57"/>
  <c r="F42" i="57"/>
  <c r="C42" i="58" s="1"/>
  <c r="C48" i="57"/>
  <c r="F48" i="57" s="1"/>
  <c r="F7" i="57"/>
  <c r="F20" i="57"/>
  <c r="C17" i="57"/>
  <c r="C38" i="57" s="1"/>
  <c r="C33" i="58"/>
  <c r="G37" i="56"/>
  <c r="F17" i="56"/>
  <c r="E37" i="56"/>
  <c r="D37" i="56"/>
  <c r="F24" i="56"/>
  <c r="F23" i="56" s="1"/>
  <c r="E7" i="55"/>
  <c r="E25" i="55"/>
  <c r="C35" i="83" l="1"/>
  <c r="C19" i="73"/>
  <c r="F19" i="73" s="1"/>
  <c r="C19" i="75" s="1"/>
  <c r="F19" i="75" s="1"/>
  <c r="C20" i="76" s="1"/>
  <c r="F20" i="76" s="1"/>
  <c r="C20" i="77" s="1"/>
  <c r="F20" i="77" s="1"/>
  <c r="C20" i="79" s="1"/>
  <c r="F20" i="79" s="1"/>
  <c r="C20" i="80" s="1"/>
  <c r="F20" i="80" s="1"/>
  <c r="C20" i="81" s="1"/>
  <c r="F20" i="81" s="1"/>
  <c r="C20" i="82" s="1"/>
  <c r="F20" i="82" s="1"/>
  <c r="C20" i="83" s="1"/>
  <c r="F20" i="83" s="1"/>
  <c r="C20" i="84" s="1"/>
  <c r="F20" i="84" s="1"/>
  <c r="C30" i="77"/>
  <c r="F24" i="76"/>
  <c r="F35" i="57"/>
  <c r="C32" i="57"/>
  <c r="C18" i="62"/>
  <c r="F42" i="58"/>
  <c r="C42" i="59" s="1"/>
  <c r="C48" i="58"/>
  <c r="F48" i="58" s="1"/>
  <c r="F25" i="59"/>
  <c r="F23" i="59" s="1"/>
  <c r="C23" i="59"/>
  <c r="F25" i="60"/>
  <c r="F23" i="60" s="1"/>
  <c r="C23" i="60"/>
  <c r="C7" i="58"/>
  <c r="F25" i="57"/>
  <c r="F23" i="57" s="1"/>
  <c r="C23" i="57"/>
  <c r="F25" i="58"/>
  <c r="F23" i="58" s="1"/>
  <c r="C23" i="58"/>
  <c r="C20" i="58"/>
  <c r="F17" i="57"/>
  <c r="F33" i="58"/>
  <c r="E32" i="54"/>
  <c r="E22" i="54"/>
  <c r="F35" i="83" l="1"/>
  <c r="F30" i="77"/>
  <c r="C24" i="77"/>
  <c r="C35" i="58"/>
  <c r="F32" i="57"/>
  <c r="F18" i="62"/>
  <c r="F7" i="58"/>
  <c r="F42" i="59"/>
  <c r="C43" i="60" s="1"/>
  <c r="C48" i="59"/>
  <c r="F48" i="59" s="1"/>
  <c r="F20" i="58"/>
  <c r="C17" i="58"/>
  <c r="C38" i="58" s="1"/>
  <c r="C33" i="59"/>
  <c r="E7" i="54"/>
  <c r="C35" i="84" l="1"/>
  <c r="C30" i="79"/>
  <c r="F24" i="77"/>
  <c r="F35" i="58"/>
  <c r="C32" i="58"/>
  <c r="C18" i="63"/>
  <c r="C7" i="59"/>
  <c r="F43" i="60"/>
  <c r="F49" i="60"/>
  <c r="C20" i="59"/>
  <c r="F17" i="58"/>
  <c r="F33" i="59"/>
  <c r="D7" i="55"/>
  <c r="F35" i="84" l="1"/>
  <c r="F30" i="79"/>
  <c r="C24" i="79"/>
  <c r="C35" i="59"/>
  <c r="F32" i="58"/>
  <c r="F18" i="63"/>
  <c r="F7" i="59"/>
  <c r="F20" i="59"/>
  <c r="C17" i="59"/>
  <c r="C38" i="59" s="1"/>
  <c r="E47" i="55"/>
  <c r="D32" i="55"/>
  <c r="C30" i="80" l="1"/>
  <c r="F24" i="79"/>
  <c r="F35" i="59"/>
  <c r="C32" i="59"/>
  <c r="C18" i="64"/>
  <c r="C7" i="60"/>
  <c r="C20" i="60"/>
  <c r="F17" i="59"/>
  <c r="F34" i="60"/>
  <c r="F30" i="55"/>
  <c r="F30" i="80" l="1"/>
  <c r="C24" i="80"/>
  <c r="C36" i="60"/>
  <c r="F32" i="59"/>
  <c r="F18" i="64"/>
  <c r="F7" i="60"/>
  <c r="C7" i="61" s="1"/>
  <c r="F7" i="61" s="1"/>
  <c r="C7" i="62" s="1"/>
  <c r="F7" i="62" s="1"/>
  <c r="C7" i="63" s="1"/>
  <c r="F7" i="63" s="1"/>
  <c r="C7" i="64" s="1"/>
  <c r="F7" i="64" s="1"/>
  <c r="C7" i="65" s="1"/>
  <c r="F7" i="65" s="1"/>
  <c r="C7" i="66" s="1"/>
  <c r="F7" i="66" s="1"/>
  <c r="F20" i="60"/>
  <c r="C17" i="60"/>
  <c r="C43" i="55"/>
  <c r="C44" i="55"/>
  <c r="C45" i="55"/>
  <c r="C46" i="55"/>
  <c r="C47" i="55"/>
  <c r="C42" i="55"/>
  <c r="F24" i="80" l="1"/>
  <c r="C30" i="81"/>
  <c r="F17" i="60"/>
  <c r="C20" i="61"/>
  <c r="F7" i="68"/>
  <c r="C7" i="69" s="1"/>
  <c r="C7" i="67"/>
  <c r="F7" i="67" s="1"/>
  <c r="F36" i="60"/>
  <c r="C33" i="60"/>
  <c r="C18" i="65"/>
  <c r="C39" i="60"/>
  <c r="F36" i="55"/>
  <c r="C34" i="55"/>
  <c r="F34" i="55" s="1"/>
  <c r="C35" i="55"/>
  <c r="F35" i="55" s="1"/>
  <c r="C26" i="55"/>
  <c r="F26" i="55" s="1"/>
  <c r="C27" i="55"/>
  <c r="F27" i="55" s="1"/>
  <c r="C29" i="55"/>
  <c r="C31" i="55"/>
  <c r="C25" i="55"/>
  <c r="F25" i="55" s="1"/>
  <c r="C20" i="55"/>
  <c r="F20" i="55" s="1"/>
  <c r="C21" i="55"/>
  <c r="F21" i="55" s="1"/>
  <c r="C18" i="55"/>
  <c r="F18" i="55" s="1"/>
  <c r="C8" i="55"/>
  <c r="F8" i="55" s="1"/>
  <c r="C8" i="56" s="1"/>
  <c r="F8" i="56" s="1"/>
  <c r="C8" i="57" s="1"/>
  <c r="C9" i="55"/>
  <c r="C10" i="55"/>
  <c r="C11" i="55"/>
  <c r="F11" i="55" s="1"/>
  <c r="C12" i="55"/>
  <c r="F12" i="55" s="1"/>
  <c r="C13" i="55"/>
  <c r="C14" i="55"/>
  <c r="C15" i="55"/>
  <c r="F15" i="55" s="1"/>
  <c r="C16" i="55"/>
  <c r="F16" i="55" s="1"/>
  <c r="D48" i="55"/>
  <c r="E48" i="55"/>
  <c r="F47" i="55"/>
  <c r="F46" i="55"/>
  <c r="F45" i="55"/>
  <c r="F44" i="55"/>
  <c r="F43" i="55"/>
  <c r="F42" i="55"/>
  <c r="F39" i="55"/>
  <c r="E39" i="55"/>
  <c r="D39" i="55"/>
  <c r="C39" i="55"/>
  <c r="G32" i="55"/>
  <c r="G23" i="55" s="1"/>
  <c r="E32" i="55"/>
  <c r="F31" i="55"/>
  <c r="F29" i="55"/>
  <c r="C24" i="55"/>
  <c r="E23" i="55"/>
  <c r="D23" i="55"/>
  <c r="E17" i="55"/>
  <c r="D17" i="55"/>
  <c r="F14" i="55"/>
  <c r="F13" i="55"/>
  <c r="C13" i="56" s="1"/>
  <c r="F10" i="55"/>
  <c r="F9" i="55"/>
  <c r="E6" i="55"/>
  <c r="D6" i="55"/>
  <c r="G6" i="55"/>
  <c r="F30" i="81" l="1"/>
  <c r="C24" i="81"/>
  <c r="F7" i="69"/>
  <c r="F20" i="61"/>
  <c r="C17" i="61"/>
  <c r="C39" i="61" s="1"/>
  <c r="C36" i="61"/>
  <c r="F33" i="60"/>
  <c r="F18" i="65"/>
  <c r="F8" i="57"/>
  <c r="F13" i="56"/>
  <c r="C6" i="56"/>
  <c r="G37" i="55"/>
  <c r="E37" i="55"/>
  <c r="D37" i="55"/>
  <c r="C48" i="55"/>
  <c r="F48" i="55" s="1"/>
  <c r="F24" i="55"/>
  <c r="C26" i="54"/>
  <c r="C27" i="54"/>
  <c r="C28" i="54"/>
  <c r="C29" i="54"/>
  <c r="C30" i="54"/>
  <c r="C25" i="54"/>
  <c r="C19" i="54"/>
  <c r="C20" i="54"/>
  <c r="C21" i="54"/>
  <c r="C22" i="54"/>
  <c r="C18" i="54"/>
  <c r="D7" i="54"/>
  <c r="E45" i="54"/>
  <c r="C30" i="82" l="1"/>
  <c r="F24" i="81"/>
  <c r="C7" i="70"/>
  <c r="C20" i="62"/>
  <c r="F17" i="61"/>
  <c r="F36" i="61"/>
  <c r="C33" i="61"/>
  <c r="C18" i="66"/>
  <c r="F6" i="56"/>
  <c r="F37" i="56" s="1"/>
  <c r="F49" i="56" s="1"/>
  <c r="C13" i="57"/>
  <c r="C8" i="58"/>
  <c r="C45" i="54"/>
  <c r="F45" i="54" s="1"/>
  <c r="C41" i="54"/>
  <c r="C42" i="54"/>
  <c r="C43" i="54"/>
  <c r="F43" i="54" s="1"/>
  <c r="C44" i="54"/>
  <c r="F44" i="54" s="1"/>
  <c r="C40" i="54"/>
  <c r="C33" i="54"/>
  <c r="C34" i="54"/>
  <c r="C32" i="54"/>
  <c r="C31" i="54" s="1"/>
  <c r="F26" i="54"/>
  <c r="F28" i="54"/>
  <c r="C28" i="55" s="1"/>
  <c r="F30" i="54"/>
  <c r="C17" i="54"/>
  <c r="C36" i="54" s="1"/>
  <c r="F22" i="54"/>
  <c r="C22" i="55" s="1"/>
  <c r="F22" i="55" s="1"/>
  <c r="C8" i="54"/>
  <c r="F8" i="54" s="1"/>
  <c r="C9" i="54"/>
  <c r="C10" i="54"/>
  <c r="C11" i="54"/>
  <c r="C12" i="54"/>
  <c r="C13" i="54"/>
  <c r="F13" i="54" s="1"/>
  <c r="C14" i="54"/>
  <c r="F14" i="54" s="1"/>
  <c r="C15" i="54"/>
  <c r="F15" i="54" s="1"/>
  <c r="C16" i="54"/>
  <c r="F16" i="54" s="1"/>
  <c r="C7" i="54"/>
  <c r="D46" i="54"/>
  <c r="E46" i="54"/>
  <c r="F42" i="54"/>
  <c r="F41" i="54"/>
  <c r="F37" i="54"/>
  <c r="E37" i="54"/>
  <c r="D37" i="54"/>
  <c r="C37" i="54"/>
  <c r="F34" i="54"/>
  <c r="F33" i="54"/>
  <c r="G31" i="54"/>
  <c r="E31" i="54"/>
  <c r="D31" i="54"/>
  <c r="F29" i="54"/>
  <c r="F27" i="54"/>
  <c r="F25" i="54"/>
  <c r="C24" i="54"/>
  <c r="F24" i="54" s="1"/>
  <c r="G23" i="54"/>
  <c r="E23" i="54"/>
  <c r="D23" i="54"/>
  <c r="F21" i="54"/>
  <c r="F20" i="54"/>
  <c r="E17" i="54"/>
  <c r="F18" i="54"/>
  <c r="D17" i="54"/>
  <c r="F12" i="54"/>
  <c r="F11" i="54"/>
  <c r="F10" i="54"/>
  <c r="F9" i="54"/>
  <c r="E6" i="54"/>
  <c r="D6" i="54"/>
  <c r="F7" i="54"/>
  <c r="C7" i="55" s="1"/>
  <c r="G6" i="54"/>
  <c r="G35" i="54" s="1"/>
  <c r="F30" i="82" l="1"/>
  <c r="C24" i="82"/>
  <c r="F7" i="70"/>
  <c r="F20" i="62"/>
  <c r="C17" i="62"/>
  <c r="C39" i="62" s="1"/>
  <c r="C36" i="62"/>
  <c r="F33" i="61"/>
  <c r="F18" i="66"/>
  <c r="F8" i="58"/>
  <c r="F13" i="57"/>
  <c r="C6" i="57"/>
  <c r="C6" i="55"/>
  <c r="F7" i="55"/>
  <c r="F6" i="55" s="1"/>
  <c r="F28" i="55"/>
  <c r="F23" i="55" s="1"/>
  <c r="C23" i="55"/>
  <c r="C46" i="54"/>
  <c r="F46" i="54" s="1"/>
  <c r="C23" i="54"/>
  <c r="E35" i="54"/>
  <c r="F6" i="54"/>
  <c r="D35" i="54"/>
  <c r="F23" i="54"/>
  <c r="F19" i="54"/>
  <c r="F32" i="54"/>
  <c r="F40" i="54"/>
  <c r="C6" i="54"/>
  <c r="E7" i="53"/>
  <c r="C30" i="83" l="1"/>
  <c r="F24" i="82"/>
  <c r="C7" i="71"/>
  <c r="C20" i="63"/>
  <c r="F17" i="62"/>
  <c r="F18" i="68"/>
  <c r="C18" i="69" s="1"/>
  <c r="F36" i="62"/>
  <c r="C33" i="62"/>
  <c r="C18" i="67"/>
  <c r="C37" i="57"/>
  <c r="C49" i="57" s="1"/>
  <c r="C13" i="58"/>
  <c r="F6" i="57"/>
  <c r="F37" i="57" s="1"/>
  <c r="F49" i="57" s="1"/>
  <c r="C8" i="59"/>
  <c r="F31" i="54"/>
  <c r="C33" i="55"/>
  <c r="F17" i="54"/>
  <c r="C19" i="55"/>
  <c r="C35" i="54"/>
  <c r="C47" i="54" s="1"/>
  <c r="C18" i="53"/>
  <c r="C25" i="53"/>
  <c r="E19" i="53"/>
  <c r="E12" i="53"/>
  <c r="D7" i="53"/>
  <c r="D12" i="53"/>
  <c r="E45" i="53"/>
  <c r="C41" i="53"/>
  <c r="C42" i="53"/>
  <c r="C43" i="53"/>
  <c r="C44" i="53"/>
  <c r="C45" i="53"/>
  <c r="C40" i="53"/>
  <c r="C46" i="53" s="1"/>
  <c r="C33" i="53"/>
  <c r="C34" i="53"/>
  <c r="C32" i="53"/>
  <c r="C26" i="53"/>
  <c r="C27" i="53"/>
  <c r="F27" i="53" s="1"/>
  <c r="C28" i="53"/>
  <c r="F28" i="53" s="1"/>
  <c r="C29" i="53"/>
  <c r="F29" i="53" s="1"/>
  <c r="C30" i="53"/>
  <c r="C19" i="53"/>
  <c r="C20" i="53"/>
  <c r="C21" i="53"/>
  <c r="C22" i="53"/>
  <c r="F22" i="53" s="1"/>
  <c r="C8" i="53"/>
  <c r="C9" i="53"/>
  <c r="C10" i="53"/>
  <c r="C11" i="53"/>
  <c r="C12" i="53"/>
  <c r="F12" i="53" s="1"/>
  <c r="C14" i="53"/>
  <c r="C15" i="53"/>
  <c r="F15" i="53" s="1"/>
  <c r="C16" i="53"/>
  <c r="C7" i="53"/>
  <c r="E46" i="53"/>
  <c r="D46" i="53"/>
  <c r="F45" i="53"/>
  <c r="F44" i="53"/>
  <c r="F43" i="53"/>
  <c r="F42" i="53"/>
  <c r="F41" i="53"/>
  <c r="F37" i="53"/>
  <c r="E37" i="53"/>
  <c r="D37" i="53"/>
  <c r="C37" i="53"/>
  <c r="F34" i="53"/>
  <c r="F33" i="53"/>
  <c r="C31" i="53"/>
  <c r="G31" i="53"/>
  <c r="G23" i="53" s="1"/>
  <c r="E31" i="53"/>
  <c r="D31" i="53"/>
  <c r="F30" i="53"/>
  <c r="F26" i="53"/>
  <c r="F24" i="53"/>
  <c r="C24" i="53"/>
  <c r="E23" i="53"/>
  <c r="D23" i="53"/>
  <c r="F21" i="53"/>
  <c r="F20" i="53"/>
  <c r="E17" i="53"/>
  <c r="F19" i="53"/>
  <c r="F18" i="53"/>
  <c r="D17" i="53"/>
  <c r="F16" i="53"/>
  <c r="F14" i="53"/>
  <c r="F11" i="53"/>
  <c r="F10" i="53"/>
  <c r="F9" i="53"/>
  <c r="F8" i="53"/>
  <c r="G6" i="53"/>
  <c r="G35" i="53" s="1"/>
  <c r="E6" i="53"/>
  <c r="F30" i="83" l="1"/>
  <c r="C24" i="83"/>
  <c r="F18" i="69"/>
  <c r="F7" i="71"/>
  <c r="F20" i="63"/>
  <c r="C17" i="63"/>
  <c r="C39" i="63" s="1"/>
  <c r="C36" i="63"/>
  <c r="F33" i="62"/>
  <c r="F18" i="67"/>
  <c r="F8" i="59"/>
  <c r="F13" i="58"/>
  <c r="C6" i="58"/>
  <c r="C37" i="58" s="1"/>
  <c r="C49" i="58" s="1"/>
  <c r="F35" i="54"/>
  <c r="F47" i="54" s="1"/>
  <c r="F33" i="55"/>
  <c r="F32" i="55" s="1"/>
  <c r="C32" i="55"/>
  <c r="F19" i="55"/>
  <c r="F17" i="55" s="1"/>
  <c r="C17" i="55"/>
  <c r="F7" i="53"/>
  <c r="D6" i="53"/>
  <c r="D35" i="53" s="1"/>
  <c r="F46" i="53"/>
  <c r="F17" i="53"/>
  <c r="E35" i="53"/>
  <c r="F32" i="53"/>
  <c r="F31" i="53" s="1"/>
  <c r="F40" i="53"/>
  <c r="C17" i="53"/>
  <c r="C36" i="53" s="1"/>
  <c r="E7" i="52"/>
  <c r="C30" i="84" l="1"/>
  <c r="F24" i="83"/>
  <c r="C18" i="70"/>
  <c r="C7" i="73"/>
  <c r="C20" i="64"/>
  <c r="F17" i="63"/>
  <c r="F36" i="63"/>
  <c r="C33" i="63"/>
  <c r="C13" i="59"/>
  <c r="F6" i="58"/>
  <c r="F37" i="58" s="1"/>
  <c r="F49" i="58" s="1"/>
  <c r="C8" i="60"/>
  <c r="C37" i="55"/>
  <c r="C49" i="55" s="1"/>
  <c r="F37" i="55"/>
  <c r="F49" i="55" s="1"/>
  <c r="C38" i="55"/>
  <c r="D7" i="52"/>
  <c r="F30" i="84" l="1"/>
  <c r="F24" i="84" s="1"/>
  <c r="C24" i="84"/>
  <c r="F18" i="70"/>
  <c r="F7" i="73"/>
  <c r="F20" i="64"/>
  <c r="C17" i="64"/>
  <c r="C40" i="64" s="1"/>
  <c r="C37" i="64"/>
  <c r="F33" i="63"/>
  <c r="F8" i="60"/>
  <c r="C8" i="61" s="1"/>
  <c r="F13" i="59"/>
  <c r="C6" i="59"/>
  <c r="C37" i="59" s="1"/>
  <c r="C49" i="59" s="1"/>
  <c r="E19" i="52"/>
  <c r="C33" i="52"/>
  <c r="C34" i="52"/>
  <c r="C32" i="52"/>
  <c r="C26" i="52"/>
  <c r="C27" i="52"/>
  <c r="C28" i="52"/>
  <c r="C29" i="52"/>
  <c r="C30" i="52"/>
  <c r="C19" i="52"/>
  <c r="C20" i="52"/>
  <c r="C21" i="52"/>
  <c r="C22" i="52"/>
  <c r="C18" i="52"/>
  <c r="C8" i="52"/>
  <c r="C9" i="52"/>
  <c r="C10" i="52"/>
  <c r="C11" i="52"/>
  <c r="C12" i="52"/>
  <c r="C13" i="52"/>
  <c r="C14" i="52"/>
  <c r="C15" i="52"/>
  <c r="C16" i="52"/>
  <c r="C7" i="52"/>
  <c r="C41" i="52"/>
  <c r="C42" i="52"/>
  <c r="C43" i="52"/>
  <c r="C44" i="52"/>
  <c r="C45" i="52"/>
  <c r="C40" i="52"/>
  <c r="E45" i="52"/>
  <c r="D45" i="52"/>
  <c r="C18" i="71" l="1"/>
  <c r="C7" i="75"/>
  <c r="C20" i="65"/>
  <c r="F17" i="64"/>
  <c r="F37" i="64"/>
  <c r="C34" i="64"/>
  <c r="F8" i="61"/>
  <c r="C6" i="61"/>
  <c r="C38" i="61" s="1"/>
  <c r="C50" i="61" s="1"/>
  <c r="C13" i="60"/>
  <c r="F6" i="59"/>
  <c r="F37" i="59" s="1"/>
  <c r="F49" i="59" s="1"/>
  <c r="D46" i="52"/>
  <c r="C46" i="52"/>
  <c r="F45" i="52"/>
  <c r="F44" i="52"/>
  <c r="F43" i="52"/>
  <c r="F42" i="52"/>
  <c r="F41" i="52"/>
  <c r="F40" i="52"/>
  <c r="F37" i="52"/>
  <c r="E37" i="52"/>
  <c r="D37" i="52"/>
  <c r="C37" i="52"/>
  <c r="F34" i="52"/>
  <c r="F33" i="52"/>
  <c r="F32" i="52"/>
  <c r="G31" i="52"/>
  <c r="G23" i="52" s="1"/>
  <c r="E31" i="52"/>
  <c r="D31" i="52"/>
  <c r="C31" i="52"/>
  <c r="F30" i="52"/>
  <c r="F29" i="52"/>
  <c r="F28" i="52"/>
  <c r="F27" i="52"/>
  <c r="F26" i="52"/>
  <c r="F24" i="52"/>
  <c r="C24" i="52"/>
  <c r="E23" i="52"/>
  <c r="D23" i="52"/>
  <c r="F22" i="52"/>
  <c r="F21" i="52"/>
  <c r="F20" i="52"/>
  <c r="F19" i="52"/>
  <c r="F18" i="52"/>
  <c r="E17" i="52"/>
  <c r="D17" i="52"/>
  <c r="C17" i="52"/>
  <c r="C36" i="52" s="1"/>
  <c r="F16" i="52"/>
  <c r="F15" i="52"/>
  <c r="F14" i="52"/>
  <c r="F13" i="52"/>
  <c r="C13" i="53" s="1"/>
  <c r="F12" i="52"/>
  <c r="F11" i="52"/>
  <c r="F10" i="52"/>
  <c r="F9" i="52"/>
  <c r="F8" i="52"/>
  <c r="E6" i="52"/>
  <c r="D6" i="52"/>
  <c r="F7" i="52"/>
  <c r="G6" i="52"/>
  <c r="F18" i="71" l="1"/>
  <c r="F7" i="75"/>
  <c r="F20" i="65"/>
  <c r="C17" i="65"/>
  <c r="C40" i="65" s="1"/>
  <c r="C37" i="65"/>
  <c r="F34" i="64"/>
  <c r="C8" i="62"/>
  <c r="F6" i="61"/>
  <c r="F38" i="61" s="1"/>
  <c r="F50" i="61" s="1"/>
  <c r="F13" i="60"/>
  <c r="F6" i="60" s="1"/>
  <c r="F38" i="60" s="1"/>
  <c r="C6" i="60"/>
  <c r="F13" i="53"/>
  <c r="F6" i="53" s="1"/>
  <c r="C6" i="53"/>
  <c r="F31" i="52"/>
  <c r="D35" i="52"/>
  <c r="E35" i="52"/>
  <c r="F17" i="52"/>
  <c r="F6" i="52"/>
  <c r="G35" i="52"/>
  <c r="C6" i="52"/>
  <c r="E46" i="52"/>
  <c r="F46" i="52" s="1"/>
  <c r="E7" i="51"/>
  <c r="E19" i="51"/>
  <c r="D12" i="51"/>
  <c r="D7" i="51"/>
  <c r="E44" i="51"/>
  <c r="F43" i="51"/>
  <c r="C18" i="73" l="1"/>
  <c r="C7" i="76"/>
  <c r="C20" i="66"/>
  <c r="F17" i="65"/>
  <c r="F37" i="65"/>
  <c r="C34" i="65"/>
  <c r="C38" i="60"/>
  <c r="C50" i="60" s="1"/>
  <c r="F8" i="62"/>
  <c r="C6" i="62"/>
  <c r="C38" i="62" s="1"/>
  <c r="C50" i="62" s="1"/>
  <c r="F50" i="60"/>
  <c r="C41" i="51"/>
  <c r="F41" i="51" s="1"/>
  <c r="C42" i="51"/>
  <c r="F42" i="51" s="1"/>
  <c r="C43" i="51"/>
  <c r="C44" i="51"/>
  <c r="F44" i="51" s="1"/>
  <c r="C45" i="51"/>
  <c r="C40" i="51"/>
  <c r="F40" i="51" s="1"/>
  <c r="C33" i="51"/>
  <c r="F33" i="51" s="1"/>
  <c r="C34" i="51"/>
  <c r="F34" i="51" s="1"/>
  <c r="C32" i="51"/>
  <c r="F32" i="51" s="1"/>
  <c r="C26" i="51"/>
  <c r="F26" i="51" s="1"/>
  <c r="C27" i="51"/>
  <c r="C28" i="51"/>
  <c r="C29" i="51"/>
  <c r="C30" i="51"/>
  <c r="F30" i="51" s="1"/>
  <c r="C19" i="51"/>
  <c r="C20" i="51"/>
  <c r="F20" i="51" s="1"/>
  <c r="C21" i="51"/>
  <c r="C22" i="51"/>
  <c r="C18" i="51"/>
  <c r="C8" i="51"/>
  <c r="F8" i="51" s="1"/>
  <c r="C9" i="51"/>
  <c r="C10" i="51"/>
  <c r="F10" i="51" s="1"/>
  <c r="C11" i="51"/>
  <c r="C12" i="51"/>
  <c r="F12" i="51" s="1"/>
  <c r="C13" i="51"/>
  <c r="C14" i="51"/>
  <c r="C15" i="51"/>
  <c r="C16" i="51"/>
  <c r="F16" i="51" s="1"/>
  <c r="C7" i="51"/>
  <c r="E46" i="51"/>
  <c r="D46" i="51"/>
  <c r="E45" i="51"/>
  <c r="F45" i="51"/>
  <c r="F37" i="51"/>
  <c r="E37" i="51"/>
  <c r="D37" i="51"/>
  <c r="C37" i="51"/>
  <c r="G31" i="51"/>
  <c r="E31" i="51"/>
  <c r="D31" i="51"/>
  <c r="F29" i="51"/>
  <c r="F28" i="51"/>
  <c r="F27" i="51"/>
  <c r="C24" i="51"/>
  <c r="F24" i="51" s="1"/>
  <c r="G23" i="51"/>
  <c r="E23" i="51"/>
  <c r="D23" i="51"/>
  <c r="F22" i="51"/>
  <c r="F21" i="51"/>
  <c r="F19" i="51"/>
  <c r="F18" i="51"/>
  <c r="D17" i="51"/>
  <c r="F15" i="51"/>
  <c r="F14" i="51"/>
  <c r="F13" i="51"/>
  <c r="F11" i="51"/>
  <c r="F9" i="51"/>
  <c r="G6" i="51"/>
  <c r="G35" i="51" s="1"/>
  <c r="E6" i="51"/>
  <c r="D6" i="51"/>
  <c r="F18" i="73" l="1"/>
  <c r="F7" i="76"/>
  <c r="F20" i="66"/>
  <c r="C17" i="66"/>
  <c r="C40" i="66" s="1"/>
  <c r="C37" i="66"/>
  <c r="F34" i="65"/>
  <c r="C8" i="63"/>
  <c r="F6" i="62"/>
  <c r="F50" i="62" s="1"/>
  <c r="D35" i="51"/>
  <c r="F17" i="51"/>
  <c r="C17" i="51"/>
  <c r="C36" i="51" s="1"/>
  <c r="C6" i="51"/>
  <c r="F31" i="51"/>
  <c r="E17" i="51"/>
  <c r="E35" i="51" s="1"/>
  <c r="C31" i="51"/>
  <c r="F7" i="51"/>
  <c r="F6" i="51" s="1"/>
  <c r="C46" i="51"/>
  <c r="F46" i="51" s="1"/>
  <c r="E45" i="50"/>
  <c r="E44" i="50"/>
  <c r="C7" i="77" l="1"/>
  <c r="C18" i="75"/>
  <c r="C20" i="67"/>
  <c r="F17" i="66"/>
  <c r="F37" i="66"/>
  <c r="C34" i="66"/>
  <c r="F8" i="63"/>
  <c r="C6" i="63"/>
  <c r="E7" i="50"/>
  <c r="E19" i="50"/>
  <c r="F18" i="75" l="1"/>
  <c r="F7" i="77"/>
  <c r="F20" i="68"/>
  <c r="C17" i="68"/>
  <c r="C40" i="68" s="1"/>
  <c r="F20" i="67"/>
  <c r="F17" i="67" s="1"/>
  <c r="C17" i="67"/>
  <c r="C40" i="67" s="1"/>
  <c r="C38" i="63"/>
  <c r="C50" i="63" s="1"/>
  <c r="C37" i="67"/>
  <c r="F34" i="66"/>
  <c r="C8" i="64"/>
  <c r="F6" i="63"/>
  <c r="C41" i="50"/>
  <c r="C42" i="50"/>
  <c r="C43" i="50"/>
  <c r="F43" i="50" s="1"/>
  <c r="C44" i="50"/>
  <c r="C45" i="50"/>
  <c r="C40" i="50"/>
  <c r="F40" i="50" s="1"/>
  <c r="C33" i="50"/>
  <c r="C34" i="50"/>
  <c r="F34" i="50" s="1"/>
  <c r="C32" i="50"/>
  <c r="F32" i="50" s="1"/>
  <c r="C26" i="50"/>
  <c r="C27" i="50"/>
  <c r="F27" i="50" s="1"/>
  <c r="C28" i="50"/>
  <c r="C29" i="50"/>
  <c r="C30" i="50"/>
  <c r="F30" i="50" s="1"/>
  <c r="C25" i="50"/>
  <c r="F25" i="50" s="1"/>
  <c r="C25" i="51" s="1"/>
  <c r="C19" i="50"/>
  <c r="C20" i="50"/>
  <c r="F20" i="50" s="1"/>
  <c r="C21" i="50"/>
  <c r="F21" i="50" s="1"/>
  <c r="C22" i="50"/>
  <c r="C18" i="50"/>
  <c r="C8" i="50"/>
  <c r="C9" i="50"/>
  <c r="F9" i="50" s="1"/>
  <c r="C10" i="50"/>
  <c r="F10" i="50" s="1"/>
  <c r="C11" i="50"/>
  <c r="C12" i="50"/>
  <c r="C13" i="50"/>
  <c r="C14" i="50"/>
  <c r="F14" i="50" s="1"/>
  <c r="C15" i="50"/>
  <c r="C16" i="50"/>
  <c r="F16" i="50" s="1"/>
  <c r="C7" i="50"/>
  <c r="F7" i="50" s="1"/>
  <c r="F45" i="50"/>
  <c r="E46" i="50"/>
  <c r="D46" i="50"/>
  <c r="F42" i="50"/>
  <c r="F41" i="50"/>
  <c r="F37" i="50"/>
  <c r="E37" i="50"/>
  <c r="D37" i="50"/>
  <c r="C37" i="50"/>
  <c r="G35" i="50"/>
  <c r="E31" i="50"/>
  <c r="G31" i="50"/>
  <c r="D31" i="50"/>
  <c r="F29" i="50"/>
  <c r="F28" i="50"/>
  <c r="E23" i="50"/>
  <c r="F26" i="50"/>
  <c r="C24" i="50"/>
  <c r="G23" i="50"/>
  <c r="D23" i="50"/>
  <c r="F22" i="50"/>
  <c r="E17" i="50"/>
  <c r="D17" i="50"/>
  <c r="F15" i="50"/>
  <c r="F13" i="50"/>
  <c r="F12" i="50"/>
  <c r="F8" i="50"/>
  <c r="G6" i="50"/>
  <c r="E6" i="50"/>
  <c r="D6" i="50"/>
  <c r="F17" i="68" l="1"/>
  <c r="C20" i="69"/>
  <c r="C7" i="79"/>
  <c r="F7" i="79" s="1"/>
  <c r="C19" i="76"/>
  <c r="F38" i="63"/>
  <c r="F50" i="63" s="1"/>
  <c r="F37" i="67"/>
  <c r="C34" i="67"/>
  <c r="F8" i="64"/>
  <c r="C6" i="64"/>
  <c r="C23" i="51"/>
  <c r="C35" i="51" s="1"/>
  <c r="C47" i="51" s="1"/>
  <c r="F25" i="51"/>
  <c r="E35" i="50"/>
  <c r="C17" i="50"/>
  <c r="C36" i="50" s="1"/>
  <c r="C46" i="50"/>
  <c r="F46" i="50" s="1"/>
  <c r="C31" i="50"/>
  <c r="C23" i="50"/>
  <c r="D35" i="50"/>
  <c r="C6" i="50"/>
  <c r="F11" i="50"/>
  <c r="F6" i="50" s="1"/>
  <c r="F33" i="50"/>
  <c r="F31" i="50" s="1"/>
  <c r="F44" i="50"/>
  <c r="F24" i="50"/>
  <c r="F23" i="50" s="1"/>
  <c r="F18" i="50"/>
  <c r="F19" i="50"/>
  <c r="E7" i="49"/>
  <c r="E8" i="49"/>
  <c r="E14" i="49"/>
  <c r="E19" i="49"/>
  <c r="E22" i="49"/>
  <c r="E27" i="49"/>
  <c r="F32" i="49"/>
  <c r="E33" i="49"/>
  <c r="D7" i="49"/>
  <c r="D44" i="49"/>
  <c r="E44" i="49"/>
  <c r="C45" i="49"/>
  <c r="C41" i="49"/>
  <c r="C42" i="49"/>
  <c r="C43" i="49"/>
  <c r="C44" i="49"/>
  <c r="C40" i="49"/>
  <c r="C33" i="49"/>
  <c r="C34" i="49"/>
  <c r="C32" i="49"/>
  <c r="C26" i="49"/>
  <c r="C27" i="49"/>
  <c r="C28" i="49"/>
  <c r="C29" i="49"/>
  <c r="C30" i="49"/>
  <c r="C25" i="49"/>
  <c r="C19" i="49"/>
  <c r="C20" i="49"/>
  <c r="C21" i="49"/>
  <c r="C22" i="49"/>
  <c r="C18" i="49"/>
  <c r="C8" i="49"/>
  <c r="C9" i="49"/>
  <c r="C10" i="49"/>
  <c r="C11" i="49"/>
  <c r="C12" i="49"/>
  <c r="C13" i="49"/>
  <c r="C14" i="49"/>
  <c r="C15" i="49"/>
  <c r="C16" i="49"/>
  <c r="C7" i="49"/>
  <c r="F19" i="76" l="1"/>
  <c r="C7" i="80"/>
  <c r="F20" i="69"/>
  <c r="C17" i="69"/>
  <c r="C40" i="69" s="1"/>
  <c r="C39" i="64"/>
  <c r="C51" i="64" s="1"/>
  <c r="C36" i="68"/>
  <c r="F34" i="67"/>
  <c r="C8" i="65"/>
  <c r="F6" i="64"/>
  <c r="C25" i="52"/>
  <c r="F23" i="51"/>
  <c r="F35" i="51" s="1"/>
  <c r="F47" i="51" s="1"/>
  <c r="C35" i="50"/>
  <c r="C47" i="50" s="1"/>
  <c r="F17" i="50"/>
  <c r="F35" i="50"/>
  <c r="F47" i="50" s="1"/>
  <c r="E46" i="49"/>
  <c r="D46" i="49"/>
  <c r="F45" i="49"/>
  <c r="F44" i="49"/>
  <c r="F43" i="49"/>
  <c r="F42" i="49"/>
  <c r="F41" i="49"/>
  <c r="F40" i="49"/>
  <c r="F37" i="49"/>
  <c r="E37" i="49"/>
  <c r="D37" i="49"/>
  <c r="C37" i="49"/>
  <c r="F34" i="49"/>
  <c r="F33" i="49"/>
  <c r="G31" i="49"/>
  <c r="G23" i="49" s="1"/>
  <c r="E31" i="49"/>
  <c r="D31" i="49"/>
  <c r="F30" i="49"/>
  <c r="F29" i="49"/>
  <c r="F28" i="49"/>
  <c r="F27" i="49"/>
  <c r="F26" i="49"/>
  <c r="F25" i="49"/>
  <c r="C24" i="49"/>
  <c r="F24" i="49" s="1"/>
  <c r="E23" i="49"/>
  <c r="D23" i="49"/>
  <c r="F22" i="49"/>
  <c r="F21" i="49"/>
  <c r="F20" i="49"/>
  <c r="E17" i="49"/>
  <c r="C17" i="49"/>
  <c r="C36" i="49" s="1"/>
  <c r="F18" i="49"/>
  <c r="D17" i="49"/>
  <c r="F16" i="49"/>
  <c r="F15" i="49"/>
  <c r="F14" i="49"/>
  <c r="F13" i="49"/>
  <c r="F12" i="49"/>
  <c r="F11" i="49"/>
  <c r="F10" i="49"/>
  <c r="F9" i="49"/>
  <c r="F8" i="49"/>
  <c r="E6" i="49"/>
  <c r="D6" i="49"/>
  <c r="C6" i="49"/>
  <c r="G6" i="49"/>
  <c r="G35" i="49" s="1"/>
  <c r="F7" i="80" l="1"/>
  <c r="C7" i="81" s="1"/>
  <c r="C20" i="70"/>
  <c r="F17" i="69"/>
  <c r="C19" i="77"/>
  <c r="F39" i="64"/>
  <c r="F51" i="64" s="1"/>
  <c r="C23" i="68"/>
  <c r="F36" i="68"/>
  <c r="F8" i="65"/>
  <c r="C6" i="65"/>
  <c r="C39" i="65" s="1"/>
  <c r="C51" i="65" s="1"/>
  <c r="F25" i="52"/>
  <c r="C23" i="52"/>
  <c r="C35" i="52" s="1"/>
  <c r="C47" i="52" s="1"/>
  <c r="D35" i="49"/>
  <c r="F23" i="49"/>
  <c r="F31" i="49"/>
  <c r="E35" i="49"/>
  <c r="C46" i="49"/>
  <c r="F46" i="49" s="1"/>
  <c r="F7" i="49"/>
  <c r="F6" i="49" s="1"/>
  <c r="C31" i="49"/>
  <c r="F19" i="49"/>
  <c r="F17" i="49" s="1"/>
  <c r="C23" i="49"/>
  <c r="C34" i="48"/>
  <c r="F7" i="81" l="1"/>
  <c r="F19" i="77"/>
  <c r="F20" i="70"/>
  <c r="C17" i="70"/>
  <c r="C41" i="70" s="1"/>
  <c r="F23" i="68"/>
  <c r="C36" i="69"/>
  <c r="C8" i="66"/>
  <c r="F6" i="65"/>
  <c r="F39" i="65" s="1"/>
  <c r="F51" i="65" s="1"/>
  <c r="F23" i="52"/>
  <c r="F35" i="52" s="1"/>
  <c r="F47" i="52" s="1"/>
  <c r="C35" i="49"/>
  <c r="C47" i="49" s="1"/>
  <c r="F35" i="49"/>
  <c r="F47" i="49" s="1"/>
  <c r="E7" i="48"/>
  <c r="E12" i="48"/>
  <c r="E8" i="48"/>
  <c r="C7" i="82" l="1"/>
  <c r="C20" i="71"/>
  <c r="F17" i="70"/>
  <c r="C19" i="79"/>
  <c r="F36" i="69"/>
  <c r="F8" i="66"/>
  <c r="C6" i="66"/>
  <c r="F25" i="53"/>
  <c r="F23" i="53" s="1"/>
  <c r="F35" i="53" s="1"/>
  <c r="F47" i="53" s="1"/>
  <c r="C23" i="53"/>
  <c r="C35" i="53" s="1"/>
  <c r="C47" i="53" s="1"/>
  <c r="E14" i="48"/>
  <c r="E19" i="48"/>
  <c r="E22" i="48"/>
  <c r="E27" i="48"/>
  <c r="E33" i="48"/>
  <c r="F7" i="82" l="1"/>
  <c r="F6" i="82" s="1"/>
  <c r="C36" i="70"/>
  <c r="F19" i="79"/>
  <c r="F20" i="71"/>
  <c r="C17" i="71"/>
  <c r="C41" i="71" s="1"/>
  <c r="C39" i="66"/>
  <c r="C51" i="66" s="1"/>
  <c r="F6" i="66"/>
  <c r="F39" i="66" s="1"/>
  <c r="F51" i="66" s="1"/>
  <c r="C8" i="67"/>
  <c r="D7" i="48"/>
  <c r="D12" i="48"/>
  <c r="C7" i="83" l="1"/>
  <c r="C6" i="83" s="1"/>
  <c r="C20" i="73"/>
  <c r="F17" i="71"/>
  <c r="C19" i="80"/>
  <c r="F36" i="70"/>
  <c r="C33" i="70"/>
  <c r="F8" i="68"/>
  <c r="C6" i="68"/>
  <c r="F8" i="67"/>
  <c r="F6" i="67" s="1"/>
  <c r="F51" i="67" s="1"/>
  <c r="C6" i="67"/>
  <c r="C51" i="67" s="1"/>
  <c r="E46" i="48"/>
  <c r="F46" i="48" s="1"/>
  <c r="F41" i="48"/>
  <c r="F42" i="48"/>
  <c r="F43" i="48"/>
  <c r="F44" i="48"/>
  <c r="F45" i="48"/>
  <c r="F40" i="48"/>
  <c r="C42" i="48"/>
  <c r="C43" i="48"/>
  <c r="C45" i="48"/>
  <c r="C40" i="48"/>
  <c r="F7" i="83" l="1"/>
  <c r="C39" i="68"/>
  <c r="C51" i="68" s="1"/>
  <c r="C36" i="71"/>
  <c r="F33" i="70"/>
  <c r="F6" i="68"/>
  <c r="C8" i="69"/>
  <c r="F19" i="80"/>
  <c r="C19" i="81" s="1"/>
  <c r="F20" i="73"/>
  <c r="C17" i="73"/>
  <c r="C41" i="73" s="1"/>
  <c r="F39" i="68"/>
  <c r="F51" i="68" s="1"/>
  <c r="C33" i="48"/>
  <c r="F33" i="48" s="1"/>
  <c r="F34" i="48"/>
  <c r="C32" i="48"/>
  <c r="F32" i="48" s="1"/>
  <c r="C26" i="48"/>
  <c r="F26" i="48" s="1"/>
  <c r="C27" i="48"/>
  <c r="C28" i="48"/>
  <c r="C29" i="48"/>
  <c r="F29" i="48" s="1"/>
  <c r="C30" i="48"/>
  <c r="F30" i="48" s="1"/>
  <c r="C25" i="48"/>
  <c r="F25" i="48" s="1"/>
  <c r="C19" i="48"/>
  <c r="F19" i="48" s="1"/>
  <c r="C20" i="48"/>
  <c r="F20" i="48" s="1"/>
  <c r="C21" i="48"/>
  <c r="F21" i="48" s="1"/>
  <c r="C22" i="48"/>
  <c r="C18" i="48"/>
  <c r="C8" i="48"/>
  <c r="C9" i="48"/>
  <c r="F9" i="48" s="1"/>
  <c r="C10" i="48"/>
  <c r="F10" i="48" s="1"/>
  <c r="C11" i="48"/>
  <c r="F11" i="48" s="1"/>
  <c r="C12" i="48"/>
  <c r="C13" i="48"/>
  <c r="C14" i="48"/>
  <c r="C15" i="48"/>
  <c r="C16" i="48"/>
  <c r="F16" i="48" s="1"/>
  <c r="C7" i="48"/>
  <c r="F7" i="48" s="1"/>
  <c r="D46" i="48"/>
  <c r="F37" i="48"/>
  <c r="E37" i="48"/>
  <c r="D37" i="48"/>
  <c r="C37" i="48"/>
  <c r="G31" i="48"/>
  <c r="E31" i="48"/>
  <c r="D31" i="48"/>
  <c r="F28" i="48"/>
  <c r="F27" i="48"/>
  <c r="C24" i="48"/>
  <c r="G23" i="48"/>
  <c r="E23" i="48"/>
  <c r="D23" i="48"/>
  <c r="F22" i="48"/>
  <c r="E17" i="48"/>
  <c r="D17" i="48"/>
  <c r="F15" i="48"/>
  <c r="F14" i="48"/>
  <c r="F13" i="48"/>
  <c r="F12" i="48"/>
  <c r="F8" i="48"/>
  <c r="G6" i="48"/>
  <c r="E6" i="48"/>
  <c r="D6" i="48"/>
  <c r="F19" i="81" l="1"/>
  <c r="C7" i="84"/>
  <c r="F8" i="69"/>
  <c r="C6" i="69"/>
  <c r="C39" i="69" s="1"/>
  <c r="C51" i="69" s="1"/>
  <c r="F36" i="71"/>
  <c r="C33" i="71"/>
  <c r="C20" i="75"/>
  <c r="F17" i="73"/>
  <c r="G35" i="48"/>
  <c r="D35" i="48"/>
  <c r="E35" i="48"/>
  <c r="C23" i="48"/>
  <c r="C17" i="48"/>
  <c r="C36" i="48" s="1"/>
  <c r="F6" i="48"/>
  <c r="F31" i="48"/>
  <c r="C6" i="48"/>
  <c r="C31" i="48"/>
  <c r="C35" i="48" s="1"/>
  <c r="C47" i="48" s="1"/>
  <c r="F18" i="48"/>
  <c r="F17" i="48" s="1"/>
  <c r="F24" i="48"/>
  <c r="F23" i="48" s="1"/>
  <c r="E7" i="47"/>
  <c r="E12" i="47"/>
  <c r="D12" i="47"/>
  <c r="E19" i="47"/>
  <c r="E22" i="47"/>
  <c r="D7" i="47"/>
  <c r="E46" i="47"/>
  <c r="D46" i="47"/>
  <c r="F37" i="47"/>
  <c r="E37" i="47"/>
  <c r="D37" i="47"/>
  <c r="C37" i="47"/>
  <c r="G31" i="47"/>
  <c r="G23" i="47" s="1"/>
  <c r="E31" i="47"/>
  <c r="D31" i="47"/>
  <c r="E23" i="47"/>
  <c r="D23" i="47"/>
  <c r="D17" i="47"/>
  <c r="G6" i="47"/>
  <c r="E6" i="47"/>
  <c r="E7" i="46"/>
  <c r="F7" i="43"/>
  <c r="D12" i="46"/>
  <c r="E19" i="46"/>
  <c r="D7" i="46"/>
  <c r="F7" i="84" l="1"/>
  <c r="C19" i="82"/>
  <c r="F20" i="75"/>
  <c r="C17" i="75"/>
  <c r="C42" i="75" s="1"/>
  <c r="C36" i="73"/>
  <c r="F33" i="71"/>
  <c r="C8" i="70"/>
  <c r="F6" i="69"/>
  <c r="F39" i="69" s="1"/>
  <c r="F51" i="69" s="1"/>
  <c r="F35" i="48"/>
  <c r="E17" i="47"/>
  <c r="E35" i="47"/>
  <c r="D6" i="47"/>
  <c r="D35" i="47" s="1"/>
  <c r="G35" i="47"/>
  <c r="F33" i="46"/>
  <c r="C33" i="47" s="1"/>
  <c r="F33" i="47" s="1"/>
  <c r="D43" i="46"/>
  <c r="F46" i="46"/>
  <c r="E46" i="46"/>
  <c r="F37" i="46"/>
  <c r="E37" i="46"/>
  <c r="D37" i="46"/>
  <c r="C37" i="46"/>
  <c r="G31" i="46"/>
  <c r="G23" i="46" s="1"/>
  <c r="E31" i="46"/>
  <c r="D31" i="46"/>
  <c r="E23" i="46"/>
  <c r="D23" i="46"/>
  <c r="E17" i="46"/>
  <c r="D17" i="46"/>
  <c r="G6" i="46"/>
  <c r="E6" i="46"/>
  <c r="D6" i="46"/>
  <c r="F19" i="82" l="1"/>
  <c r="F8" i="70"/>
  <c r="C6" i="70"/>
  <c r="C40" i="70" s="1"/>
  <c r="C52" i="70" s="1"/>
  <c r="F36" i="73"/>
  <c r="C33" i="73"/>
  <c r="C21" i="76"/>
  <c r="F17" i="75"/>
  <c r="G35" i="46"/>
  <c r="D46" i="46"/>
  <c r="E35" i="46"/>
  <c r="D35" i="46"/>
  <c r="K37" i="43"/>
  <c r="F7" i="44"/>
  <c r="F7" i="32"/>
  <c r="H6" i="45"/>
  <c r="E7" i="45"/>
  <c r="E6" i="45" s="1"/>
  <c r="F7" i="45"/>
  <c r="F6" i="45" s="1"/>
  <c r="F12" i="45"/>
  <c r="E17" i="45"/>
  <c r="F17" i="45"/>
  <c r="E23" i="45"/>
  <c r="F23" i="45"/>
  <c r="E30" i="45"/>
  <c r="H30" i="45"/>
  <c r="H23" i="45" s="1"/>
  <c r="H35" i="45" s="1"/>
  <c r="F32" i="45"/>
  <c r="F30" i="45" s="1"/>
  <c r="D37" i="45"/>
  <c r="E37" i="45"/>
  <c r="F37" i="45"/>
  <c r="G37" i="45"/>
  <c r="G44" i="45"/>
  <c r="E46" i="45"/>
  <c r="F46" i="45"/>
  <c r="G46" i="45"/>
  <c r="E12" i="44"/>
  <c r="G29" i="44"/>
  <c r="C29" i="46" s="1"/>
  <c r="F29" i="46" s="1"/>
  <c r="C29" i="47" s="1"/>
  <c r="F29" i="47" s="1"/>
  <c r="E44" i="44"/>
  <c r="C19" i="83" l="1"/>
  <c r="F21" i="76"/>
  <c r="C18" i="76"/>
  <c r="C43" i="76" s="1"/>
  <c r="C37" i="75"/>
  <c r="F33" i="73"/>
  <c r="C8" i="71"/>
  <c r="F6" i="70"/>
  <c r="F40" i="70" s="1"/>
  <c r="F52" i="70" s="1"/>
  <c r="F35" i="45"/>
  <c r="E35" i="45"/>
  <c r="F19" i="83" l="1"/>
  <c r="F8" i="71"/>
  <c r="C6" i="71"/>
  <c r="C40" i="71" s="1"/>
  <c r="C52" i="71" s="1"/>
  <c r="F37" i="75"/>
  <c r="C33" i="75"/>
  <c r="C21" i="77"/>
  <c r="F18" i="76"/>
  <c r="E7" i="43"/>
  <c r="C19" i="84" l="1"/>
  <c r="F21" i="77"/>
  <c r="C18" i="77"/>
  <c r="C43" i="77" s="1"/>
  <c r="C38" i="76"/>
  <c r="F33" i="75"/>
  <c r="C8" i="73"/>
  <c r="F6" i="71"/>
  <c r="F40" i="71" s="1"/>
  <c r="F52" i="71" s="1"/>
  <c r="F12" i="43"/>
  <c r="E8" i="43"/>
  <c r="F14" i="43"/>
  <c r="F20" i="43"/>
  <c r="F18" i="43"/>
  <c r="F19" i="84" l="1"/>
  <c r="F8" i="73"/>
  <c r="C6" i="73"/>
  <c r="C40" i="73" s="1"/>
  <c r="C52" i="73" s="1"/>
  <c r="F38" i="76"/>
  <c r="C34" i="76"/>
  <c r="C21" i="79"/>
  <c r="F18" i="77"/>
  <c r="F31" i="43"/>
  <c r="F32" i="43"/>
  <c r="G45" i="44"/>
  <c r="F45" i="44"/>
  <c r="E45" i="44"/>
  <c r="G36" i="44"/>
  <c r="F36" i="44"/>
  <c r="E36" i="44"/>
  <c r="D36" i="44"/>
  <c r="H31" i="44"/>
  <c r="F31" i="44"/>
  <c r="E31" i="44"/>
  <c r="F23" i="44"/>
  <c r="H23" i="44"/>
  <c r="H34" i="44" s="1"/>
  <c r="E23" i="44"/>
  <c r="F17" i="44"/>
  <c r="E17" i="44"/>
  <c r="H6" i="44"/>
  <c r="F6" i="44"/>
  <c r="E6" i="44"/>
  <c r="F21" i="79" l="1"/>
  <c r="C18" i="79"/>
  <c r="C43" i="79" s="1"/>
  <c r="C38" i="77"/>
  <c r="F34" i="76"/>
  <c r="C8" i="75"/>
  <c r="F6" i="73"/>
  <c r="F40" i="73" s="1"/>
  <c r="F52" i="73" s="1"/>
  <c r="E34" i="44"/>
  <c r="F34" i="44"/>
  <c r="F8" i="75" l="1"/>
  <c r="C6" i="75"/>
  <c r="C41" i="75" s="1"/>
  <c r="C53" i="75" s="1"/>
  <c r="F38" i="77"/>
  <c r="C34" i="77"/>
  <c r="C21" i="80"/>
  <c r="F18" i="79"/>
  <c r="F27" i="43"/>
  <c r="F10" i="40"/>
  <c r="F21" i="80" l="1"/>
  <c r="C18" i="80"/>
  <c r="C43" i="80" s="1"/>
  <c r="C38" i="79"/>
  <c r="F34" i="77"/>
  <c r="C8" i="76"/>
  <c r="F6" i="75"/>
  <c r="F41" i="75" s="1"/>
  <c r="F53" i="75" s="1"/>
  <c r="E10" i="35"/>
  <c r="F10" i="32"/>
  <c r="F18" i="80" l="1"/>
  <c r="C21" i="81"/>
  <c r="F38" i="79"/>
  <c r="C34" i="79"/>
  <c r="F8" i="76"/>
  <c r="C6" i="76"/>
  <c r="C42" i="76" s="1"/>
  <c r="C54" i="76" s="1"/>
  <c r="G44" i="43"/>
  <c r="F44" i="43"/>
  <c r="E44" i="43"/>
  <c r="G35" i="43"/>
  <c r="F35" i="43"/>
  <c r="E35" i="43"/>
  <c r="D35" i="43"/>
  <c r="H30" i="43"/>
  <c r="H23" i="43" s="1"/>
  <c r="F30" i="43"/>
  <c r="E30" i="43"/>
  <c r="F23" i="43"/>
  <c r="E23" i="43"/>
  <c r="F17" i="43"/>
  <c r="E17" i="43"/>
  <c r="H6" i="43"/>
  <c r="H33" i="43" s="1"/>
  <c r="F6" i="43"/>
  <c r="E6" i="43"/>
  <c r="F7" i="42"/>
  <c r="F21" i="81" l="1"/>
  <c r="C18" i="81"/>
  <c r="C43" i="81" s="1"/>
  <c r="C8" i="77"/>
  <c r="F6" i="76"/>
  <c r="F42" i="76" s="1"/>
  <c r="F54" i="76" s="1"/>
  <c r="C38" i="80"/>
  <c r="F34" i="79"/>
  <c r="F33" i="43"/>
  <c r="E33" i="43"/>
  <c r="F12" i="42"/>
  <c r="E12" i="42"/>
  <c r="F31" i="42"/>
  <c r="C21" i="82" l="1"/>
  <c r="F18" i="81"/>
  <c r="F38" i="80"/>
  <c r="C34" i="80"/>
  <c r="F8" i="77"/>
  <c r="C6" i="77"/>
  <c r="C42" i="77" s="1"/>
  <c r="C54" i="77" s="1"/>
  <c r="G43" i="42"/>
  <c r="F34" i="80" l="1"/>
  <c r="C38" i="81"/>
  <c r="F21" i="82"/>
  <c r="C18" i="82"/>
  <c r="C43" i="82" s="1"/>
  <c r="C8" i="79"/>
  <c r="F6" i="77"/>
  <c r="F42" i="77" s="1"/>
  <c r="F54" i="77" s="1"/>
  <c r="G46" i="42"/>
  <c r="F46" i="42"/>
  <c r="E46" i="42"/>
  <c r="G37" i="42"/>
  <c r="F37" i="42"/>
  <c r="E37" i="42"/>
  <c r="D37" i="42"/>
  <c r="H30" i="42"/>
  <c r="H23" i="42" s="1"/>
  <c r="E30" i="42"/>
  <c r="F23" i="42"/>
  <c r="E23" i="42"/>
  <c r="F17" i="42"/>
  <c r="E17" i="42"/>
  <c r="E6" i="42"/>
  <c r="H6" i="42"/>
  <c r="F6" i="42"/>
  <c r="C21" i="83" l="1"/>
  <c r="F18" i="82"/>
  <c r="F38" i="81"/>
  <c r="C34" i="81"/>
  <c r="C6" i="79"/>
  <c r="C42" i="79" s="1"/>
  <c r="C54" i="79" s="1"/>
  <c r="F8" i="79"/>
  <c r="H35" i="42"/>
  <c r="E35" i="42"/>
  <c r="C38" i="82" l="1"/>
  <c r="F34" i="81"/>
  <c r="F21" i="83"/>
  <c r="C18" i="83"/>
  <c r="C43" i="83" s="1"/>
  <c r="C8" i="80"/>
  <c r="F6" i="79"/>
  <c r="F42" i="79" s="1"/>
  <c r="F54" i="79" s="1"/>
  <c r="F7" i="40"/>
  <c r="E44" i="40"/>
  <c r="G44" i="40"/>
  <c r="E7" i="40"/>
  <c r="F12" i="40"/>
  <c r="C21" i="84" l="1"/>
  <c r="F18" i="83"/>
  <c r="F38" i="82"/>
  <c r="C34" i="82"/>
  <c r="F8" i="80"/>
  <c r="C6" i="80"/>
  <c r="C42" i="80" s="1"/>
  <c r="C54" i="80" s="1"/>
  <c r="G46" i="40"/>
  <c r="F46" i="40"/>
  <c r="E46" i="40"/>
  <c r="G37" i="40"/>
  <c r="F37" i="40"/>
  <c r="E37" i="40"/>
  <c r="D37" i="40"/>
  <c r="H30" i="40"/>
  <c r="H23" i="40" s="1"/>
  <c r="H35" i="40" s="1"/>
  <c r="F30" i="40"/>
  <c r="E30" i="40"/>
  <c r="F23" i="40"/>
  <c r="E23" i="40"/>
  <c r="F17" i="40"/>
  <c r="E17" i="40"/>
  <c r="F6" i="40"/>
  <c r="H6" i="40"/>
  <c r="E6" i="40"/>
  <c r="F6" i="80" l="1"/>
  <c r="F42" i="80" s="1"/>
  <c r="F54" i="80" s="1"/>
  <c r="C8" i="81"/>
  <c r="C38" i="83"/>
  <c r="F34" i="82"/>
  <c r="F42" i="82" s="1"/>
  <c r="F21" i="84"/>
  <c r="F18" i="84" s="1"/>
  <c r="C18" i="84"/>
  <c r="C43" i="84" s="1"/>
  <c r="F35" i="40"/>
  <c r="E35" i="40"/>
  <c r="F26" i="39"/>
  <c r="F38" i="83" l="1"/>
  <c r="C34" i="83"/>
  <c r="F8" i="81"/>
  <c r="C6" i="81"/>
  <c r="C42" i="81" s="1"/>
  <c r="C54" i="81" s="1"/>
  <c r="F7" i="39"/>
  <c r="C8" i="82" l="1"/>
  <c r="F6" i="81"/>
  <c r="F42" i="81" s="1"/>
  <c r="F54" i="81" s="1"/>
  <c r="C38" i="84"/>
  <c r="F34" i="83"/>
  <c r="G44" i="39"/>
  <c r="G46" i="39" s="1"/>
  <c r="E44" i="39"/>
  <c r="E46" i="39"/>
  <c r="F46" i="39"/>
  <c r="G37" i="39"/>
  <c r="F37" i="39"/>
  <c r="E37" i="39"/>
  <c r="D37" i="39"/>
  <c r="F30" i="39"/>
  <c r="H30" i="39"/>
  <c r="E30" i="39"/>
  <c r="H23" i="39"/>
  <c r="F23" i="39"/>
  <c r="E23" i="39"/>
  <c r="F17" i="39"/>
  <c r="E17" i="39"/>
  <c r="E6" i="39"/>
  <c r="H6" i="39"/>
  <c r="F6" i="39"/>
  <c r="F38" i="84" l="1"/>
  <c r="F34" i="84" s="1"/>
  <c r="C34" i="84"/>
  <c r="F8" i="82"/>
  <c r="C6" i="82"/>
  <c r="C42" i="82" s="1"/>
  <c r="C55" i="82" s="1"/>
  <c r="H35" i="39"/>
  <c r="F35" i="39"/>
  <c r="E35" i="39"/>
  <c r="F46" i="38"/>
  <c r="F7" i="38"/>
  <c r="E18" i="38"/>
  <c r="F26" i="38"/>
  <c r="F19" i="38"/>
  <c r="E7" i="38"/>
  <c r="F31" i="38"/>
  <c r="C8" i="83" l="1"/>
  <c r="E44" i="38"/>
  <c r="F55" i="82" l="1"/>
  <c r="F8" i="83"/>
  <c r="C42" i="83"/>
  <c r="C55" i="83" s="1"/>
  <c r="E46" i="38"/>
  <c r="G46" i="38"/>
  <c r="G37" i="38"/>
  <c r="F37" i="38"/>
  <c r="E37" i="38"/>
  <c r="D37" i="38"/>
  <c r="H30" i="38"/>
  <c r="H23" i="38" s="1"/>
  <c r="F30" i="38"/>
  <c r="E30" i="38"/>
  <c r="F23" i="38"/>
  <c r="E23" i="38"/>
  <c r="F17" i="38"/>
  <c r="E17" i="38"/>
  <c r="H6" i="38"/>
  <c r="F6" i="38"/>
  <c r="E6" i="38"/>
  <c r="C8" i="84" l="1"/>
  <c r="F6" i="83"/>
  <c r="F42" i="83" s="1"/>
  <c r="F55" i="83" s="1"/>
  <c r="H35" i="38"/>
  <c r="E35" i="38"/>
  <c r="F35" i="38"/>
  <c r="F7" i="36"/>
  <c r="F10" i="36"/>
  <c r="F19" i="36"/>
  <c r="F22" i="36"/>
  <c r="G25" i="36"/>
  <c r="D25" i="38" s="1"/>
  <c r="G25" i="38" s="1"/>
  <c r="D25" i="39" s="1"/>
  <c r="G25" i="39" s="1"/>
  <c r="D25" i="40" s="1"/>
  <c r="G25" i="40" s="1"/>
  <c r="D25" i="45" s="1"/>
  <c r="G25" i="45" s="1"/>
  <c r="D25" i="42" s="1"/>
  <c r="G25" i="42" s="1"/>
  <c r="D25" i="43" s="1"/>
  <c r="G25" i="43" s="1"/>
  <c r="D25" i="44" s="1"/>
  <c r="G25" i="44" s="1"/>
  <c r="C25" i="46" s="1"/>
  <c r="F25" i="46" s="1"/>
  <c r="C25" i="47" s="1"/>
  <c r="F25" i="47" s="1"/>
  <c r="E44" i="36"/>
  <c r="G41" i="36"/>
  <c r="F8" i="84" l="1"/>
  <c r="F6" i="84" s="1"/>
  <c r="F42" i="84" s="1"/>
  <c r="F55" i="84" s="1"/>
  <c r="C6" i="84"/>
  <c r="C42" i="84" s="1"/>
  <c r="C55" i="84" s="1"/>
  <c r="G46" i="36"/>
  <c r="F46" i="36"/>
  <c r="E46" i="36"/>
  <c r="G37" i="36"/>
  <c r="F37" i="36"/>
  <c r="E37" i="36"/>
  <c r="D37" i="36"/>
  <c r="H30" i="36"/>
  <c r="F30" i="36"/>
  <c r="E30" i="36"/>
  <c r="H23" i="36"/>
  <c r="F23" i="36"/>
  <c r="E23" i="36"/>
  <c r="F17" i="36"/>
  <c r="E17" i="36"/>
  <c r="H6" i="36"/>
  <c r="H35" i="36" s="1"/>
  <c r="F6" i="36"/>
  <c r="E6" i="36"/>
  <c r="E35" i="36" l="1"/>
  <c r="F35" i="36"/>
  <c r="F7" i="35"/>
  <c r="F22" i="35" l="1"/>
  <c r="E7" i="35"/>
  <c r="F25" i="35" l="1"/>
  <c r="E12" i="35" l="1"/>
  <c r="F10" i="35"/>
  <c r="F19" i="35" l="1"/>
  <c r="G21" i="35"/>
  <c r="D21" i="36" s="1"/>
  <c r="G21" i="36" s="1"/>
  <c r="D21" i="38" s="1"/>
  <c r="G21" i="38" s="1"/>
  <c r="D21" i="39" s="1"/>
  <c r="G21" i="39" s="1"/>
  <c r="D21" i="40" s="1"/>
  <c r="G21" i="40" s="1"/>
  <c r="D21" i="45" s="1"/>
  <c r="G21" i="45" s="1"/>
  <c r="D21" i="42" s="1"/>
  <c r="G21" i="42" s="1"/>
  <c r="D21" i="43" s="1"/>
  <c r="G21" i="43" s="1"/>
  <c r="D21" i="44" s="1"/>
  <c r="G21" i="44" s="1"/>
  <c r="C21" i="46" s="1"/>
  <c r="F21" i="46" s="1"/>
  <c r="C21" i="47" s="1"/>
  <c r="F21" i="47" s="1"/>
  <c r="E43" i="35"/>
  <c r="E44" i="35"/>
  <c r="G44" i="35"/>
  <c r="E45" i="35" l="1"/>
  <c r="F45" i="35"/>
  <c r="G36" i="35"/>
  <c r="F36" i="35"/>
  <c r="E36" i="35"/>
  <c r="D36" i="35"/>
  <c r="H29" i="35"/>
  <c r="H23" i="35" s="1"/>
  <c r="F29" i="35"/>
  <c r="E29" i="35"/>
  <c r="F23" i="35"/>
  <c r="E23" i="35"/>
  <c r="F17" i="35"/>
  <c r="E17" i="35"/>
  <c r="H6" i="35"/>
  <c r="E6" i="35"/>
  <c r="H34" i="35" l="1"/>
  <c r="E34" i="35"/>
  <c r="G45" i="35"/>
  <c r="F6" i="35"/>
  <c r="F34" i="35" s="1"/>
  <c r="F44" i="34"/>
  <c r="E44" i="34"/>
  <c r="G43" i="34"/>
  <c r="G44" i="34" s="1"/>
  <c r="G35" i="34"/>
  <c r="F35" i="34"/>
  <c r="E35" i="34"/>
  <c r="D35" i="34"/>
  <c r="H28" i="34"/>
  <c r="H22" i="34" s="1"/>
  <c r="F28" i="34"/>
  <c r="E28" i="34"/>
  <c r="F22" i="34"/>
  <c r="E22" i="34"/>
  <c r="F19" i="34"/>
  <c r="F17" i="34"/>
  <c r="E17" i="34"/>
  <c r="F12" i="34"/>
  <c r="E12" i="34"/>
  <c r="F7" i="34"/>
  <c r="H6" i="34"/>
  <c r="E6" i="34"/>
  <c r="E33" i="34" l="1"/>
  <c r="H33" i="34"/>
  <c r="F6" i="34"/>
  <c r="F33" i="34" s="1"/>
  <c r="F12" i="33"/>
  <c r="F7" i="33"/>
  <c r="F19" i="33" l="1"/>
  <c r="E12" i="33"/>
  <c r="G43" i="33"/>
  <c r="G44" i="33" l="1"/>
  <c r="F44" i="33"/>
  <c r="E44" i="33"/>
  <c r="G35" i="33"/>
  <c r="F35" i="33"/>
  <c r="E35" i="33"/>
  <c r="D35" i="33"/>
  <c r="H28" i="33"/>
  <c r="F28" i="33"/>
  <c r="E28" i="33"/>
  <c r="H22" i="33"/>
  <c r="H33" i="33" s="1"/>
  <c r="F22" i="33"/>
  <c r="E22" i="33"/>
  <c r="F17" i="33"/>
  <c r="E17" i="33"/>
  <c r="F6" i="33"/>
  <c r="H6" i="33"/>
  <c r="E6" i="33"/>
  <c r="E33" i="33" l="1"/>
  <c r="F33" i="33"/>
  <c r="G44" i="32" l="1"/>
  <c r="F44" i="32"/>
  <c r="E44" i="32"/>
  <c r="G35" i="32"/>
  <c r="F35" i="32"/>
  <c r="E35" i="32"/>
  <c r="D35" i="32"/>
  <c r="H28" i="32"/>
  <c r="H22" i="32" s="1"/>
  <c r="F28" i="32"/>
  <c r="E28" i="32"/>
  <c r="F22" i="32"/>
  <c r="E22" i="32"/>
  <c r="F17" i="32"/>
  <c r="E17" i="32"/>
  <c r="F6" i="32"/>
  <c r="H6" i="32"/>
  <c r="E6" i="32"/>
  <c r="H33" i="32" l="1"/>
  <c r="E33" i="32"/>
  <c r="F33" i="32"/>
  <c r="F7" i="29"/>
  <c r="E42" i="29" l="1"/>
  <c r="F12" i="29" l="1"/>
  <c r="G44" i="29" l="1"/>
  <c r="F44" i="29"/>
  <c r="E44" i="29"/>
  <c r="G35" i="29"/>
  <c r="F35" i="29"/>
  <c r="E35" i="29"/>
  <c r="D35" i="29"/>
  <c r="H28" i="29"/>
  <c r="H22" i="29" s="1"/>
  <c r="H33" i="29" s="1"/>
  <c r="F28" i="29"/>
  <c r="E28" i="29"/>
  <c r="F22" i="29"/>
  <c r="E22" i="29"/>
  <c r="E33" i="29" s="1"/>
  <c r="F17" i="29"/>
  <c r="E17" i="29"/>
  <c r="H6" i="29"/>
  <c r="F6" i="29"/>
  <c r="E6" i="29"/>
  <c r="F33" i="29" l="1"/>
  <c r="F7" i="27"/>
  <c r="E41" i="28" l="1"/>
  <c r="G41" i="27"/>
  <c r="E41" i="27"/>
  <c r="F7" i="28" l="1"/>
  <c r="E12" i="28" l="1"/>
  <c r="G39" i="28"/>
  <c r="F44" i="28" l="1"/>
  <c r="E44" i="28"/>
  <c r="G35" i="28"/>
  <c r="F35" i="28"/>
  <c r="E35" i="28"/>
  <c r="D35" i="28"/>
  <c r="H28" i="28"/>
  <c r="F28" i="28"/>
  <c r="E28" i="28"/>
  <c r="H22" i="28"/>
  <c r="F22" i="28"/>
  <c r="E22" i="28"/>
  <c r="F17" i="28"/>
  <c r="E17" i="28"/>
  <c r="H6" i="28"/>
  <c r="H33" i="28" s="1"/>
  <c r="F6" i="28"/>
  <c r="E6" i="28"/>
  <c r="F33" i="28" l="1"/>
  <c r="E33" i="28"/>
  <c r="G44" i="28"/>
  <c r="D7" i="27"/>
  <c r="F12" i="27" l="1"/>
  <c r="G43" i="27" l="1"/>
  <c r="D8" i="27" l="1"/>
  <c r="G8" i="27" s="1"/>
  <c r="D8" i="28" s="1"/>
  <c r="G8" i="28" s="1"/>
  <c r="D8" i="29" s="1"/>
  <c r="G8" i="29" s="1"/>
  <c r="D8" i="32" s="1"/>
  <c r="G8" i="32" s="1"/>
  <c r="D9" i="27"/>
  <c r="G9" i="27" s="1"/>
  <c r="D9" i="28" s="1"/>
  <c r="G9" i="28" s="1"/>
  <c r="D9" i="29" s="1"/>
  <c r="G9" i="29" s="1"/>
  <c r="D9" i="32" s="1"/>
  <c r="G9" i="32" s="1"/>
  <c r="D11" i="27"/>
  <c r="G11" i="27" s="1"/>
  <c r="D11" i="28" s="1"/>
  <c r="G11" i="28" s="1"/>
  <c r="D11" i="29" s="1"/>
  <c r="G11" i="29" s="1"/>
  <c r="D11" i="32" s="1"/>
  <c r="G11" i="32" s="1"/>
  <c r="G44" i="15"/>
  <c r="F44" i="15"/>
  <c r="D43" i="15"/>
  <c r="H43" i="15" s="1"/>
  <c r="D43" i="27" s="1"/>
  <c r="H43" i="27" s="1"/>
  <c r="D43" i="28" s="1"/>
  <c r="H43" i="28" s="1"/>
  <c r="E42" i="15"/>
  <c r="D42" i="15"/>
  <c r="H42" i="15" s="1"/>
  <c r="D42" i="27" s="1"/>
  <c r="H42" i="27" s="1"/>
  <c r="D42" i="28" s="1"/>
  <c r="H42" i="28" s="1"/>
  <c r="E41" i="15"/>
  <c r="E44" i="15" s="1"/>
  <c r="D41" i="15"/>
  <c r="H40" i="15"/>
  <c r="D40" i="27" s="1"/>
  <c r="H40" i="27" s="1"/>
  <c r="D40" i="28" s="1"/>
  <c r="H40" i="28" s="1"/>
  <c r="D40" i="29" s="1"/>
  <c r="H40" i="29" s="1"/>
  <c r="D40" i="32" s="1"/>
  <c r="H40" i="32" s="1"/>
  <c r="D39" i="15"/>
  <c r="H39" i="15" s="1"/>
  <c r="D39" i="27" s="1"/>
  <c r="H39" i="27" s="1"/>
  <c r="D39" i="28" s="1"/>
  <c r="H39" i="28" s="1"/>
  <c r="D38" i="15"/>
  <c r="G35" i="15"/>
  <c r="F35" i="15"/>
  <c r="E35" i="15"/>
  <c r="D35" i="15"/>
  <c r="D32" i="15"/>
  <c r="G32" i="15" s="1"/>
  <c r="D32" i="27" s="1"/>
  <c r="G32" i="27" s="1"/>
  <c r="D32" i="28" s="1"/>
  <c r="G32" i="28" s="1"/>
  <c r="D31" i="15"/>
  <c r="G31" i="15" s="1"/>
  <c r="D31" i="27" s="1"/>
  <c r="D30" i="15"/>
  <c r="G30" i="15" s="1"/>
  <c r="G30" i="27" s="1"/>
  <c r="D30" i="28" s="1"/>
  <c r="G30" i="28" s="1"/>
  <c r="D30" i="29" s="1"/>
  <c r="G30" i="29" s="1"/>
  <c r="D30" i="32" s="1"/>
  <c r="G30" i="32" s="1"/>
  <c r="D29" i="15"/>
  <c r="H28" i="15"/>
  <c r="F28" i="15"/>
  <c r="E28" i="15"/>
  <c r="D27" i="15"/>
  <c r="G27" i="15" s="1"/>
  <c r="D27" i="27" s="1"/>
  <c r="G27" i="27" s="1"/>
  <c r="D27" i="28" s="1"/>
  <c r="G27" i="28" s="1"/>
  <c r="D26" i="15"/>
  <c r="G26" i="15" s="1"/>
  <c r="D26" i="27" s="1"/>
  <c r="G26" i="27" s="1"/>
  <c r="D26" i="28" s="1"/>
  <c r="G26" i="28" s="1"/>
  <c r="D25" i="15"/>
  <c r="G25" i="15" s="1"/>
  <c r="G25" i="27" s="1"/>
  <c r="D25" i="28" s="1"/>
  <c r="G25" i="28" s="1"/>
  <c r="D25" i="29" s="1"/>
  <c r="G25" i="29" s="1"/>
  <c r="D25" i="32" s="1"/>
  <c r="G25" i="32" s="1"/>
  <c r="D24" i="15"/>
  <c r="D23" i="15"/>
  <c r="G23" i="15" s="1"/>
  <c r="D23" i="27" s="1"/>
  <c r="H22" i="15"/>
  <c r="F22" i="15"/>
  <c r="E22" i="15"/>
  <c r="D21" i="15"/>
  <c r="G21" i="15" s="1"/>
  <c r="G21" i="27" s="1"/>
  <c r="D21" i="28" s="1"/>
  <c r="G21" i="28" s="1"/>
  <c r="D21" i="29" s="1"/>
  <c r="G21" i="29" s="1"/>
  <c r="D21" i="32" s="1"/>
  <c r="G21" i="32" s="1"/>
  <c r="D20" i="15"/>
  <c r="G20" i="15" s="1"/>
  <c r="D19" i="15"/>
  <c r="G19" i="15" s="1"/>
  <c r="D19" i="27" s="1"/>
  <c r="K18" i="15"/>
  <c r="F18" i="15"/>
  <c r="F17" i="15" s="1"/>
  <c r="D18" i="15"/>
  <c r="E17" i="15"/>
  <c r="D17" i="15"/>
  <c r="D16" i="15"/>
  <c r="G16" i="15" s="1"/>
  <c r="D16" i="27" s="1"/>
  <c r="G16" i="27" s="1"/>
  <c r="D16" i="28" s="1"/>
  <c r="G16" i="28" s="1"/>
  <c r="D15" i="15"/>
  <c r="G15" i="15" s="1"/>
  <c r="D15" i="27" s="1"/>
  <c r="G15" i="27" s="1"/>
  <c r="D15" i="28" s="1"/>
  <c r="G15" i="28" s="1"/>
  <c r="D14" i="15"/>
  <c r="G14" i="15" s="1"/>
  <c r="D14" i="27" s="1"/>
  <c r="G14" i="27" s="1"/>
  <c r="D14" i="28" s="1"/>
  <c r="G14" i="28" s="1"/>
  <c r="D13" i="15"/>
  <c r="G13" i="15" s="1"/>
  <c r="D13" i="27" s="1"/>
  <c r="G13" i="27" s="1"/>
  <c r="D13" i="28" s="1"/>
  <c r="G13" i="28" s="1"/>
  <c r="F12" i="15"/>
  <c r="D12" i="15"/>
  <c r="D11" i="15"/>
  <c r="D10" i="15"/>
  <c r="G10" i="15" s="1"/>
  <c r="D10" i="27" s="1"/>
  <c r="D9" i="15"/>
  <c r="D8" i="15"/>
  <c r="F7" i="15"/>
  <c r="F6" i="15" s="1"/>
  <c r="D7" i="15"/>
  <c r="H6" i="15"/>
  <c r="E6" i="15"/>
  <c r="G44" i="27"/>
  <c r="F44" i="27"/>
  <c r="E44" i="27"/>
  <c r="G35" i="27"/>
  <c r="F35" i="27"/>
  <c r="E35" i="27"/>
  <c r="D35" i="27"/>
  <c r="H28" i="27"/>
  <c r="F28" i="27"/>
  <c r="E28" i="27"/>
  <c r="H22" i="27"/>
  <c r="F22" i="27"/>
  <c r="E22" i="27"/>
  <c r="K18" i="27"/>
  <c r="F17" i="27"/>
  <c r="E17" i="27"/>
  <c r="H6" i="27"/>
  <c r="F6" i="27"/>
  <c r="E6" i="27"/>
  <c r="D11" i="34" l="1"/>
  <c r="G11" i="34" s="1"/>
  <c r="D11" i="33"/>
  <c r="G11" i="33" s="1"/>
  <c r="D11" i="35" s="1"/>
  <c r="G11" i="35" s="1"/>
  <c r="D11" i="36" s="1"/>
  <c r="G11" i="36" s="1"/>
  <c r="D11" i="38" s="1"/>
  <c r="G11" i="38" s="1"/>
  <c r="D11" i="39" s="1"/>
  <c r="G11" i="39" s="1"/>
  <c r="D11" i="40" s="1"/>
  <c r="G11" i="40" s="1"/>
  <c r="D11" i="45" s="1"/>
  <c r="G11" i="45" s="1"/>
  <c r="D11" i="42" s="1"/>
  <c r="G11" i="42" s="1"/>
  <c r="D11" i="43" s="1"/>
  <c r="G11" i="43" s="1"/>
  <c r="D11" i="44" s="1"/>
  <c r="G11" i="44" s="1"/>
  <c r="C11" i="46" s="1"/>
  <c r="F11" i="46" s="1"/>
  <c r="C11" i="47" s="1"/>
  <c r="F11" i="47" s="1"/>
  <c r="D9" i="34"/>
  <c r="G9" i="34" s="1"/>
  <c r="D9" i="33"/>
  <c r="G9" i="33" s="1"/>
  <c r="D9" i="35" s="1"/>
  <c r="G9" i="35" s="1"/>
  <c r="D9" i="36" s="1"/>
  <c r="G9" i="36" s="1"/>
  <c r="D9" i="38" s="1"/>
  <c r="G9" i="38" s="1"/>
  <c r="D9" i="39" s="1"/>
  <c r="G9" i="39" s="1"/>
  <c r="D9" i="40" s="1"/>
  <c r="G9" i="40" s="1"/>
  <c r="D9" i="45" s="1"/>
  <c r="G9" i="45" s="1"/>
  <c r="D9" i="42" s="1"/>
  <c r="G9" i="42" s="1"/>
  <c r="D9" i="43" s="1"/>
  <c r="G9" i="43" s="1"/>
  <c r="D9" i="44" s="1"/>
  <c r="G9" i="44" s="1"/>
  <c r="C9" i="46" s="1"/>
  <c r="F9" i="46" s="1"/>
  <c r="C9" i="47" s="1"/>
  <c r="F9" i="47" s="1"/>
  <c r="D8" i="34"/>
  <c r="G8" i="34" s="1"/>
  <c r="D8" i="33"/>
  <c r="G8" i="33" s="1"/>
  <c r="D8" i="35" s="1"/>
  <c r="G8" i="35" s="1"/>
  <c r="D8" i="36" s="1"/>
  <c r="G8" i="36" s="1"/>
  <c r="D8" i="38" s="1"/>
  <c r="G8" i="38" s="1"/>
  <c r="D8" i="39" s="1"/>
  <c r="G8" i="39" s="1"/>
  <c r="D8" i="40" s="1"/>
  <c r="G8" i="40" s="1"/>
  <c r="D8" i="45" s="1"/>
  <c r="G8" i="45" s="1"/>
  <c r="D8" i="42" s="1"/>
  <c r="G8" i="42" s="1"/>
  <c r="D8" i="43" s="1"/>
  <c r="G8" i="43" s="1"/>
  <c r="D8" i="44" s="1"/>
  <c r="G8" i="44" s="1"/>
  <c r="C8" i="46" s="1"/>
  <c r="F8" i="46" s="1"/>
  <c r="C8" i="47" s="1"/>
  <c r="F8" i="47" s="1"/>
  <c r="D25" i="34"/>
  <c r="G25" i="34" s="1"/>
  <c r="D25" i="33"/>
  <c r="G25" i="33" s="1"/>
  <c r="D26" i="35" s="1"/>
  <c r="G26" i="35" s="1"/>
  <c r="D27" i="36" s="1"/>
  <c r="G27" i="36" s="1"/>
  <c r="D27" i="38" s="1"/>
  <c r="G27" i="38" s="1"/>
  <c r="D27" i="39" s="1"/>
  <c r="G27" i="39" s="1"/>
  <c r="D27" i="40" s="1"/>
  <c r="G27" i="40" s="1"/>
  <c r="D27" i="45" s="1"/>
  <c r="G27" i="45" s="1"/>
  <c r="D27" i="42" s="1"/>
  <c r="G27" i="42" s="1"/>
  <c r="G27" i="43" s="1"/>
  <c r="D27" i="44" s="1"/>
  <c r="G27" i="44" s="1"/>
  <c r="C27" i="46" s="1"/>
  <c r="F27" i="46" s="1"/>
  <c r="C27" i="47" s="1"/>
  <c r="F27" i="47" s="1"/>
  <c r="D30" i="34"/>
  <c r="G30" i="34" s="1"/>
  <c r="D30" i="33"/>
  <c r="G30" i="33" s="1"/>
  <c r="D31" i="35" s="1"/>
  <c r="G31" i="35" s="1"/>
  <c r="D32" i="36" s="1"/>
  <c r="G32" i="36" s="1"/>
  <c r="D32" i="38" s="1"/>
  <c r="G32" i="38" s="1"/>
  <c r="D32" i="39" s="1"/>
  <c r="G32" i="39" s="1"/>
  <c r="D32" i="40" s="1"/>
  <c r="G32" i="40" s="1"/>
  <c r="D21" i="34"/>
  <c r="G21" i="34" s="1"/>
  <c r="D21" i="33"/>
  <c r="G21" i="33" s="1"/>
  <c r="D22" i="35" s="1"/>
  <c r="G22" i="35" s="1"/>
  <c r="D22" i="36" s="1"/>
  <c r="G22" i="36" s="1"/>
  <c r="D22" i="38" s="1"/>
  <c r="G22" i="38" s="1"/>
  <c r="D22" i="39" s="1"/>
  <c r="G22" i="39" s="1"/>
  <c r="D22" i="40" s="1"/>
  <c r="G22" i="40" s="1"/>
  <c r="D22" i="45" s="1"/>
  <c r="G22" i="45" s="1"/>
  <c r="D22" i="42" s="1"/>
  <c r="G22" i="42" s="1"/>
  <c r="D22" i="43" s="1"/>
  <c r="G22" i="43" s="1"/>
  <c r="D22" i="44" s="1"/>
  <c r="G22" i="44" s="1"/>
  <c r="C22" i="46" s="1"/>
  <c r="F22" i="46" s="1"/>
  <c r="C22" i="47" s="1"/>
  <c r="F22" i="47" s="1"/>
  <c r="E33" i="15"/>
  <c r="F33" i="15"/>
  <c r="G18" i="15"/>
  <c r="G17" i="15" s="1"/>
  <c r="H33" i="15"/>
  <c r="D40" i="34"/>
  <c r="H40" i="34" s="1"/>
  <c r="D40" i="33"/>
  <c r="H40" i="33" s="1"/>
  <c r="D41" i="35" s="1"/>
  <c r="H41" i="35" s="1"/>
  <c r="D42" i="36" s="1"/>
  <c r="H42" i="36" s="1"/>
  <c r="D42" i="38" s="1"/>
  <c r="H42" i="38" s="1"/>
  <c r="D42" i="39" s="1"/>
  <c r="H42" i="39" s="1"/>
  <c r="D42" i="40" s="1"/>
  <c r="H42" i="40" s="1"/>
  <c r="D13" i="29"/>
  <c r="G13" i="29" s="1"/>
  <c r="D13" i="32" s="1"/>
  <c r="G13" i="32" s="1"/>
  <c r="D27" i="29"/>
  <c r="G27" i="29" s="1"/>
  <c r="D27" i="32" s="1"/>
  <c r="G27" i="32" s="1"/>
  <c r="D16" i="29"/>
  <c r="G16" i="29" s="1"/>
  <c r="D16" i="32" s="1"/>
  <c r="G16" i="32" s="1"/>
  <c r="D39" i="29"/>
  <c r="H39" i="29" s="1"/>
  <c r="D39" i="32" s="1"/>
  <c r="H39" i="32" s="1"/>
  <c r="D42" i="29"/>
  <c r="H42" i="29" s="1"/>
  <c r="D42" i="32" s="1"/>
  <c r="H42" i="32" s="1"/>
  <c r="D14" i="29"/>
  <c r="G14" i="29" s="1"/>
  <c r="D14" i="32" s="1"/>
  <c r="G14" i="32" s="1"/>
  <c r="D15" i="29"/>
  <c r="G15" i="29" s="1"/>
  <c r="D15" i="32" s="1"/>
  <c r="G15" i="32" s="1"/>
  <c r="D26" i="29"/>
  <c r="G26" i="29" s="1"/>
  <c r="D26" i="32" s="1"/>
  <c r="G26" i="32" s="1"/>
  <c r="D32" i="29"/>
  <c r="G32" i="29" s="1"/>
  <c r="D32" i="32" s="1"/>
  <c r="G32" i="32" s="1"/>
  <c r="D43" i="29"/>
  <c r="H43" i="29" s="1"/>
  <c r="D43" i="32" s="1"/>
  <c r="H43" i="32" s="1"/>
  <c r="D22" i="27"/>
  <c r="G31" i="27"/>
  <c r="D31" i="28" s="1"/>
  <c r="G31" i="28" s="1"/>
  <c r="D28" i="27"/>
  <c r="G10" i="27"/>
  <c r="D10" i="28" s="1"/>
  <c r="G10" i="28" s="1"/>
  <c r="G19" i="27"/>
  <c r="D19" i="28" s="1"/>
  <c r="G19" i="28" s="1"/>
  <c r="D17" i="27"/>
  <c r="H41" i="15"/>
  <c r="D41" i="27" s="1"/>
  <c r="H41" i="27" s="1"/>
  <c r="D41" i="28" s="1"/>
  <c r="H41" i="28" s="1"/>
  <c r="H33" i="27"/>
  <c r="G18" i="27"/>
  <c r="D18" i="28" s="1"/>
  <c r="G18" i="28" s="1"/>
  <c r="D18" i="29" s="1"/>
  <c r="G18" i="29" s="1"/>
  <c r="D18" i="32" s="1"/>
  <c r="G18" i="32" s="1"/>
  <c r="G23" i="27"/>
  <c r="D23" i="28" s="1"/>
  <c r="D28" i="15"/>
  <c r="D22" i="15"/>
  <c r="G12" i="15"/>
  <c r="D12" i="27" s="1"/>
  <c r="G12" i="27" s="1"/>
  <c r="D12" i="28" s="1"/>
  <c r="G12" i="28" s="1"/>
  <c r="D44" i="15"/>
  <c r="D6" i="15"/>
  <c r="G24" i="15"/>
  <c r="G24" i="27" s="1"/>
  <c r="D24" i="28" s="1"/>
  <c r="G24" i="28" s="1"/>
  <c r="D24" i="29" s="1"/>
  <c r="G24" i="29" s="1"/>
  <c r="D24" i="32" s="1"/>
  <c r="G24" i="32" s="1"/>
  <c r="G7" i="15"/>
  <c r="G20" i="27"/>
  <c r="D20" i="28" s="1"/>
  <c r="G20" i="28" s="1"/>
  <c r="D20" i="29" s="1"/>
  <c r="G20" i="29" s="1"/>
  <c r="D20" i="32" s="1"/>
  <c r="G20" i="32" s="1"/>
  <c r="F33" i="27"/>
  <c r="E33" i="27"/>
  <c r="G29" i="15"/>
  <c r="H38" i="15"/>
  <c r="D24" i="34" l="1"/>
  <c r="G24" i="34" s="1"/>
  <c r="D24" i="33"/>
  <c r="G24" i="33" s="1"/>
  <c r="D25" i="35" s="1"/>
  <c r="G25" i="35" s="1"/>
  <c r="D26" i="36" s="1"/>
  <c r="G26" i="36" s="1"/>
  <c r="D26" i="38" s="1"/>
  <c r="G26" i="38" s="1"/>
  <c r="D26" i="39" s="1"/>
  <c r="G26" i="39" s="1"/>
  <c r="D26" i="40" s="1"/>
  <c r="G26" i="40" s="1"/>
  <c r="D26" i="45" s="1"/>
  <c r="G26" i="45" s="1"/>
  <c r="D26" i="42" s="1"/>
  <c r="G26" i="42" s="1"/>
  <c r="D26" i="43" s="1"/>
  <c r="G26" i="43" s="1"/>
  <c r="D26" i="44" s="1"/>
  <c r="G26" i="44" s="1"/>
  <c r="C26" i="46" s="1"/>
  <c r="F26" i="46" s="1"/>
  <c r="C26" i="47" s="1"/>
  <c r="F26" i="47" s="1"/>
  <c r="D20" i="34"/>
  <c r="G20" i="34" s="1"/>
  <c r="D20" i="33"/>
  <c r="G20" i="33" s="1"/>
  <c r="D20" i="35" s="1"/>
  <c r="G20" i="35" s="1"/>
  <c r="D20" i="36" s="1"/>
  <c r="G20" i="36" s="1"/>
  <c r="D20" i="38" s="1"/>
  <c r="G20" i="38" s="1"/>
  <c r="D20" i="39" s="1"/>
  <c r="G20" i="39" s="1"/>
  <c r="D20" i="40" s="1"/>
  <c r="G20" i="40" s="1"/>
  <c r="D20" i="45" s="1"/>
  <c r="G20" i="45" s="1"/>
  <c r="D20" i="42" s="1"/>
  <c r="G20" i="42" s="1"/>
  <c r="D20" i="43" s="1"/>
  <c r="G20" i="43" s="1"/>
  <c r="D20" i="44" s="1"/>
  <c r="G20" i="44" s="1"/>
  <c r="C20" i="46" s="1"/>
  <c r="F20" i="46" s="1"/>
  <c r="C20" i="47" s="1"/>
  <c r="F20" i="47" s="1"/>
  <c r="D42" i="45"/>
  <c r="H42" i="45" s="1"/>
  <c r="D42" i="42" s="1"/>
  <c r="H42" i="42" s="1"/>
  <c r="D40" i="43" s="1"/>
  <c r="H40" i="43" s="1"/>
  <c r="D41" i="44" s="1"/>
  <c r="H41" i="44" s="1"/>
  <c r="C42" i="46" s="1"/>
  <c r="G42" i="46" s="1"/>
  <c r="C42" i="47" s="1"/>
  <c r="F42" i="47" s="1"/>
  <c r="D18" i="34"/>
  <c r="G18" i="34" s="1"/>
  <c r="D18" i="33"/>
  <c r="G18" i="33" s="1"/>
  <c r="D18" i="35" s="1"/>
  <c r="G18" i="35" s="1"/>
  <c r="D18" i="36" s="1"/>
  <c r="G18" i="36" s="1"/>
  <c r="D18" i="38" s="1"/>
  <c r="G18" i="38" s="1"/>
  <c r="D18" i="39" s="1"/>
  <c r="G18" i="39" s="1"/>
  <c r="D18" i="40" s="1"/>
  <c r="G18" i="40" s="1"/>
  <c r="D18" i="45" s="1"/>
  <c r="G18" i="45" s="1"/>
  <c r="D18" i="42" s="1"/>
  <c r="G18" i="42" s="1"/>
  <c r="D18" i="43" s="1"/>
  <c r="G18" i="43" s="1"/>
  <c r="D18" i="44" s="1"/>
  <c r="G18" i="44" s="1"/>
  <c r="C18" i="46" s="1"/>
  <c r="F18" i="46" s="1"/>
  <c r="C18" i="47" s="1"/>
  <c r="F18" i="47" s="1"/>
  <c r="D32" i="45"/>
  <c r="G32" i="45" s="1"/>
  <c r="D32" i="42" s="1"/>
  <c r="G6" i="15"/>
  <c r="D39" i="33"/>
  <c r="H39" i="33" s="1"/>
  <c r="D39" i="34"/>
  <c r="H39" i="34" s="1"/>
  <c r="D16" i="33"/>
  <c r="G16" i="33" s="1"/>
  <c r="D16" i="35" s="1"/>
  <c r="G16" i="35" s="1"/>
  <c r="D16" i="36" s="1"/>
  <c r="G16" i="36" s="1"/>
  <c r="D16" i="38" s="1"/>
  <c r="G16" i="38" s="1"/>
  <c r="D16" i="39" s="1"/>
  <c r="G16" i="39" s="1"/>
  <c r="D16" i="40" s="1"/>
  <c r="G16" i="40" s="1"/>
  <c r="D16" i="45" s="1"/>
  <c r="G16" i="45" s="1"/>
  <c r="D16" i="34"/>
  <c r="G16" i="34" s="1"/>
  <c r="D43" i="33"/>
  <c r="H43" i="33" s="1"/>
  <c r="D43" i="34"/>
  <c r="H43" i="34" s="1"/>
  <c r="D14" i="33"/>
  <c r="G14" i="33" s="1"/>
  <c r="D14" i="35" s="1"/>
  <c r="G14" i="35" s="1"/>
  <c r="D14" i="36" s="1"/>
  <c r="G14" i="36" s="1"/>
  <c r="D14" i="38" s="1"/>
  <c r="G14" i="38" s="1"/>
  <c r="D14" i="39" s="1"/>
  <c r="G14" i="39" s="1"/>
  <c r="D14" i="40" s="1"/>
  <c r="G14" i="40" s="1"/>
  <c r="D14" i="45" s="1"/>
  <c r="G14" i="45" s="1"/>
  <c r="D14" i="34"/>
  <c r="G14" i="34" s="1"/>
  <c r="D27" i="33"/>
  <c r="G27" i="33" s="1"/>
  <c r="D28" i="35" s="1"/>
  <c r="G28" i="35" s="1"/>
  <c r="D29" i="36" s="1"/>
  <c r="G29" i="36" s="1"/>
  <c r="D29" i="38" s="1"/>
  <c r="G29" i="38" s="1"/>
  <c r="D29" i="39" s="1"/>
  <c r="G29" i="39" s="1"/>
  <c r="D29" i="40" s="1"/>
  <c r="G29" i="40" s="1"/>
  <c r="D29" i="45" s="1"/>
  <c r="G29" i="45" s="1"/>
  <c r="D27" i="34"/>
  <c r="G27" i="34" s="1"/>
  <c r="D26" i="33"/>
  <c r="G26" i="33" s="1"/>
  <c r="D27" i="35" s="1"/>
  <c r="G27" i="35" s="1"/>
  <c r="D28" i="36" s="1"/>
  <c r="G28" i="36" s="1"/>
  <c r="D28" i="38" s="1"/>
  <c r="G28" i="38" s="1"/>
  <c r="D28" i="39" s="1"/>
  <c r="G28" i="39" s="1"/>
  <c r="D28" i="40" s="1"/>
  <c r="G28" i="40" s="1"/>
  <c r="D28" i="45" s="1"/>
  <c r="G28" i="45" s="1"/>
  <c r="D26" i="34"/>
  <c r="G26" i="34" s="1"/>
  <c r="D15" i="33"/>
  <c r="G15" i="33" s="1"/>
  <c r="D15" i="35" s="1"/>
  <c r="G15" i="35" s="1"/>
  <c r="D15" i="36" s="1"/>
  <c r="G15" i="36" s="1"/>
  <c r="D15" i="38" s="1"/>
  <c r="G15" i="38" s="1"/>
  <c r="D15" i="39" s="1"/>
  <c r="G15" i="39" s="1"/>
  <c r="D15" i="40" s="1"/>
  <c r="G15" i="40" s="1"/>
  <c r="D15" i="45" s="1"/>
  <c r="G15" i="45" s="1"/>
  <c r="D15" i="34"/>
  <c r="G15" i="34" s="1"/>
  <c r="D32" i="33"/>
  <c r="G32" i="33" s="1"/>
  <c r="D33" i="35" s="1"/>
  <c r="G33" i="35" s="1"/>
  <c r="D32" i="34"/>
  <c r="G32" i="34" s="1"/>
  <c r="D42" i="33"/>
  <c r="H42" i="33" s="1"/>
  <c r="D42" i="34"/>
  <c r="H42" i="34" s="1"/>
  <c r="D13" i="33"/>
  <c r="G13" i="33" s="1"/>
  <c r="D13" i="35" s="1"/>
  <c r="G13" i="35" s="1"/>
  <c r="D13" i="36" s="1"/>
  <c r="G13" i="36" s="1"/>
  <c r="D13" i="38" s="1"/>
  <c r="G13" i="38" s="1"/>
  <c r="D13" i="39" s="1"/>
  <c r="G13" i="39" s="1"/>
  <c r="D13" i="40" s="1"/>
  <c r="G13" i="40" s="1"/>
  <c r="D13" i="45" s="1"/>
  <c r="G13" i="45" s="1"/>
  <c r="D13" i="34"/>
  <c r="G13" i="34" s="1"/>
  <c r="G17" i="27"/>
  <c r="D41" i="29"/>
  <c r="H41" i="29" s="1"/>
  <c r="D41" i="32" s="1"/>
  <c r="H41" i="32" s="1"/>
  <c r="D12" i="29"/>
  <c r="G12" i="29" s="1"/>
  <c r="D12" i="32" s="1"/>
  <c r="G12" i="32" s="1"/>
  <c r="D10" i="29"/>
  <c r="G10" i="29" s="1"/>
  <c r="D10" i="32" s="1"/>
  <c r="D17" i="28"/>
  <c r="D34" i="28" s="1"/>
  <c r="D31" i="29"/>
  <c r="G17" i="28"/>
  <c r="D19" i="29"/>
  <c r="D6" i="27"/>
  <c r="D33" i="27" s="1"/>
  <c r="G23" i="28"/>
  <c r="D22" i="28"/>
  <c r="G22" i="27"/>
  <c r="G22" i="15"/>
  <c r="D33" i="15"/>
  <c r="D34" i="27"/>
  <c r="H44" i="15"/>
  <c r="D38" i="27"/>
  <c r="D44" i="27" s="1"/>
  <c r="G28" i="15"/>
  <c r="G7" i="27"/>
  <c r="D13" i="42" l="1"/>
  <c r="G13" i="42" s="1"/>
  <c r="D13" i="43" s="1"/>
  <c r="G13" i="43" s="1"/>
  <c r="D13" i="44" s="1"/>
  <c r="G13" i="44" s="1"/>
  <c r="C13" i="46" s="1"/>
  <c r="F13" i="46" s="1"/>
  <c r="C13" i="47" s="1"/>
  <c r="F13" i="47" s="1"/>
  <c r="D28" i="42"/>
  <c r="G28" i="42" s="1"/>
  <c r="D28" i="43" s="1"/>
  <c r="G28" i="43" s="1"/>
  <c r="D28" i="44" s="1"/>
  <c r="G28" i="44" s="1"/>
  <c r="C28" i="46" s="1"/>
  <c r="F28" i="46" s="1"/>
  <c r="C28" i="47" s="1"/>
  <c r="F28" i="47" s="1"/>
  <c r="D14" i="42"/>
  <c r="G14" i="42" s="1"/>
  <c r="D14" i="43" s="1"/>
  <c r="G14" i="43" s="1"/>
  <c r="D14" i="44" s="1"/>
  <c r="G14" i="44" s="1"/>
  <c r="C14" i="46" s="1"/>
  <c r="F14" i="46" s="1"/>
  <c r="C14" i="47" s="1"/>
  <c r="F14" i="47" s="1"/>
  <c r="D16" i="42"/>
  <c r="G16" i="42" s="1"/>
  <c r="D16" i="43" s="1"/>
  <c r="G16" i="43" s="1"/>
  <c r="D16" i="44" s="1"/>
  <c r="G16" i="44" s="1"/>
  <c r="C16" i="46" s="1"/>
  <c r="F16" i="46" s="1"/>
  <c r="C16" i="47" s="1"/>
  <c r="F16" i="47" s="1"/>
  <c r="D15" i="42"/>
  <c r="G15" i="42" s="1"/>
  <c r="D15" i="43" s="1"/>
  <c r="G15" i="43" s="1"/>
  <c r="D15" i="44" s="1"/>
  <c r="G15" i="44" s="1"/>
  <c r="C15" i="46" s="1"/>
  <c r="F15" i="46" s="1"/>
  <c r="C15" i="47" s="1"/>
  <c r="F15" i="47" s="1"/>
  <c r="D29" i="42"/>
  <c r="G29" i="42" s="1"/>
  <c r="D29" i="43" s="1"/>
  <c r="G29" i="43" s="1"/>
  <c r="D30" i="44" s="1"/>
  <c r="G30" i="44" s="1"/>
  <c r="C30" i="46" s="1"/>
  <c r="F30" i="46" s="1"/>
  <c r="C30" i="47" s="1"/>
  <c r="F30" i="47" s="1"/>
  <c r="D34" i="36"/>
  <c r="G34" i="36" s="1"/>
  <c r="D34" i="38"/>
  <c r="G34" i="38" s="1"/>
  <c r="D34" i="39" s="1"/>
  <c r="G34" i="39" s="1"/>
  <c r="D34" i="40" s="1"/>
  <c r="G34" i="40" s="1"/>
  <c r="D34" i="45" s="1"/>
  <c r="G34" i="45" s="1"/>
  <c r="D45" i="27"/>
  <c r="D43" i="35"/>
  <c r="H43" i="35" s="1"/>
  <c r="D44" i="36" s="1"/>
  <c r="H44" i="36" s="1"/>
  <c r="D44" i="38" s="1"/>
  <c r="H44" i="38" s="1"/>
  <c r="D44" i="39" s="1"/>
  <c r="H44" i="39" s="1"/>
  <c r="D44" i="40" s="1"/>
  <c r="H44" i="40" s="1"/>
  <c r="D44" i="45" s="1"/>
  <c r="H44" i="45" s="1"/>
  <c r="D44" i="35"/>
  <c r="H44" i="35" s="1"/>
  <c r="D45" i="36" s="1"/>
  <c r="H45" i="36" s="1"/>
  <c r="D45" i="38" s="1"/>
  <c r="H45" i="38" s="1"/>
  <c r="D45" i="39" s="1"/>
  <c r="H45" i="39" s="1"/>
  <c r="D45" i="40" s="1"/>
  <c r="H45" i="40" s="1"/>
  <c r="D45" i="45" s="1"/>
  <c r="H45" i="45" s="1"/>
  <c r="D40" i="35"/>
  <c r="H40" i="35" s="1"/>
  <c r="D41" i="36" s="1"/>
  <c r="D41" i="33"/>
  <c r="H41" i="33" s="1"/>
  <c r="D41" i="34"/>
  <c r="H41" i="34" s="1"/>
  <c r="D12" i="33"/>
  <c r="G12" i="33" s="1"/>
  <c r="D12" i="34"/>
  <c r="G12" i="34" s="1"/>
  <c r="G19" i="29"/>
  <c r="D17" i="29"/>
  <c r="D34" i="29" s="1"/>
  <c r="G22" i="28"/>
  <c r="D23" i="29"/>
  <c r="G31" i="29"/>
  <c r="G33" i="15"/>
  <c r="H45" i="15" s="1"/>
  <c r="G6" i="27"/>
  <c r="D7" i="28"/>
  <c r="G29" i="27"/>
  <c r="H38" i="27"/>
  <c r="G28" i="27" l="1"/>
  <c r="D29" i="28"/>
  <c r="D34" i="42"/>
  <c r="G34" i="42" s="1"/>
  <c r="D44" i="42"/>
  <c r="H44" i="42" s="1"/>
  <c r="D45" i="42"/>
  <c r="H45" i="42" s="1"/>
  <c r="D42" i="35"/>
  <c r="H42" i="35" s="1"/>
  <c r="D43" i="36" s="1"/>
  <c r="H43" i="36" s="1"/>
  <c r="D43" i="38" s="1"/>
  <c r="H43" i="38" s="1"/>
  <c r="D43" i="39" s="1"/>
  <c r="H43" i="39" s="1"/>
  <c r="D43" i="40" s="1"/>
  <c r="H43" i="40" s="1"/>
  <c r="D43" i="45" s="1"/>
  <c r="H43" i="45" s="1"/>
  <c r="H41" i="36"/>
  <c r="D41" i="38" s="1"/>
  <c r="H41" i="38" s="1"/>
  <c r="D41" i="39" s="1"/>
  <c r="H41" i="39" s="1"/>
  <c r="D41" i="40" s="1"/>
  <c r="H41" i="40" s="1"/>
  <c r="D41" i="45" s="1"/>
  <c r="H41" i="45" s="1"/>
  <c r="D12" i="35"/>
  <c r="G12" i="35" s="1"/>
  <c r="D12" i="36" s="1"/>
  <c r="G12" i="36" s="1"/>
  <c r="D12" i="38" s="1"/>
  <c r="G12" i="38" s="1"/>
  <c r="D12" i="39" s="1"/>
  <c r="G12" i="39" s="1"/>
  <c r="D12" i="40" s="1"/>
  <c r="G12" i="40" s="1"/>
  <c r="D12" i="45" s="1"/>
  <c r="G12" i="45" s="1"/>
  <c r="D31" i="32"/>
  <c r="G10" i="32"/>
  <c r="D10" i="34" s="1"/>
  <c r="G17" i="29"/>
  <c r="D19" i="32"/>
  <c r="G23" i="29"/>
  <c r="D22" i="29"/>
  <c r="G33" i="27"/>
  <c r="G7" i="28"/>
  <c r="D6" i="28"/>
  <c r="H44" i="27"/>
  <c r="D38" i="28"/>
  <c r="D44" i="28" s="1"/>
  <c r="G6" i="28" l="1"/>
  <c r="D7" i="29"/>
  <c r="G29" i="28"/>
  <c r="D28" i="28"/>
  <c r="D33" i="28" s="1"/>
  <c r="D45" i="28" s="1"/>
  <c r="D43" i="43"/>
  <c r="H43" i="43" s="1"/>
  <c r="D44" i="44" s="1"/>
  <c r="H44" i="44" s="1"/>
  <c r="C45" i="46" s="1"/>
  <c r="G45" i="46" s="1"/>
  <c r="C45" i="47" s="1"/>
  <c r="F45" i="47" s="1"/>
  <c r="D42" i="43"/>
  <c r="H42" i="43" s="1"/>
  <c r="D43" i="44" s="1"/>
  <c r="H43" i="44" s="1"/>
  <c r="C44" i="46" s="1"/>
  <c r="G44" i="46" s="1"/>
  <c r="C44" i="47" s="1"/>
  <c r="F44" i="47" s="1"/>
  <c r="C44" i="48" s="1"/>
  <c r="D43" i="42"/>
  <c r="H43" i="42" s="1"/>
  <c r="D41" i="42"/>
  <c r="H41" i="42" s="1"/>
  <c r="D12" i="42"/>
  <c r="G12" i="42" s="1"/>
  <c r="D12" i="43" s="1"/>
  <c r="G12" i="43" s="1"/>
  <c r="D12" i="44" s="1"/>
  <c r="G12" i="44" s="1"/>
  <c r="C12" i="46" s="1"/>
  <c r="F12" i="46" s="1"/>
  <c r="C12" i="47" s="1"/>
  <c r="F12" i="47" s="1"/>
  <c r="G10" i="34"/>
  <c r="D10" i="33"/>
  <c r="G19" i="32"/>
  <c r="D19" i="34" s="1"/>
  <c r="D17" i="32"/>
  <c r="D34" i="32" s="1"/>
  <c r="G31" i="32"/>
  <c r="D31" i="34" s="1"/>
  <c r="G22" i="29"/>
  <c r="D23" i="32"/>
  <c r="H45" i="27"/>
  <c r="H38" i="28"/>
  <c r="D29" i="29" l="1"/>
  <c r="G28" i="28"/>
  <c r="G7" i="29"/>
  <c r="D6" i="29"/>
  <c r="G33" i="28"/>
  <c r="D39" i="43"/>
  <c r="H39" i="43" s="1"/>
  <c r="D40" i="44" s="1"/>
  <c r="H40" i="44" s="1"/>
  <c r="C41" i="46" s="1"/>
  <c r="G41" i="46" s="1"/>
  <c r="C41" i="47" s="1"/>
  <c r="F41" i="47" s="1"/>
  <c r="C41" i="48" s="1"/>
  <c r="D41" i="43"/>
  <c r="H41" i="43" s="1"/>
  <c r="D42" i="44" s="1"/>
  <c r="H42" i="44" s="1"/>
  <c r="C43" i="46" s="1"/>
  <c r="G43" i="46" s="1"/>
  <c r="C43" i="47" s="1"/>
  <c r="F43" i="47" s="1"/>
  <c r="G31" i="34"/>
  <c r="G19" i="34"/>
  <c r="G17" i="34" s="1"/>
  <c r="D17" i="34"/>
  <c r="D34" i="34" s="1"/>
  <c r="G10" i="33"/>
  <c r="D31" i="33"/>
  <c r="G17" i="32"/>
  <c r="D19" i="33"/>
  <c r="G23" i="32"/>
  <c r="D23" i="34" s="1"/>
  <c r="D22" i="32"/>
  <c r="H44" i="28"/>
  <c r="H45" i="28" s="1"/>
  <c r="D38" i="29"/>
  <c r="C46" i="48" l="1"/>
  <c r="F47" i="48" s="1"/>
  <c r="D7" i="32"/>
  <c r="G6" i="29"/>
  <c r="G29" i="29"/>
  <c r="D28" i="29"/>
  <c r="D33" i="29" s="1"/>
  <c r="D10" i="35"/>
  <c r="D22" i="34"/>
  <c r="G23" i="34"/>
  <c r="G22" i="34" s="1"/>
  <c r="G31" i="33"/>
  <c r="G22" i="32"/>
  <c r="D23" i="33"/>
  <c r="G19" i="33"/>
  <c r="D17" i="33"/>
  <c r="D34" i="33" s="1"/>
  <c r="H38" i="29"/>
  <c r="D44" i="29"/>
  <c r="D29" i="32" l="1"/>
  <c r="G28" i="29"/>
  <c r="G33" i="29"/>
  <c r="G7" i="32"/>
  <c r="D6" i="32"/>
  <c r="D45" i="29"/>
  <c r="G17" i="33"/>
  <c r="D19" i="35"/>
  <c r="G10" i="35"/>
  <c r="D32" i="35"/>
  <c r="G23" i="33"/>
  <c r="D22" i="33"/>
  <c r="H44" i="29"/>
  <c r="H45" i="29" s="1"/>
  <c r="D38" i="32"/>
  <c r="G29" i="32" l="1"/>
  <c r="D28" i="32"/>
  <c r="D7" i="34"/>
  <c r="D7" i="33"/>
  <c r="G6" i="32"/>
  <c r="D33" i="32"/>
  <c r="D10" i="36"/>
  <c r="G32" i="35"/>
  <c r="G19" i="35"/>
  <c r="D17" i="35"/>
  <c r="D35" i="35" s="1"/>
  <c r="G22" i="33"/>
  <c r="D24" i="35"/>
  <c r="D44" i="32"/>
  <c r="D45" i="32" s="1"/>
  <c r="H38" i="32"/>
  <c r="D38" i="34" s="1"/>
  <c r="G7" i="33" l="1"/>
  <c r="D6" i="33"/>
  <c r="G33" i="32"/>
  <c r="G7" i="34"/>
  <c r="G6" i="34" s="1"/>
  <c r="D6" i="34"/>
  <c r="D29" i="34"/>
  <c r="D29" i="33"/>
  <c r="G28" i="32"/>
  <c r="G17" i="35"/>
  <c r="D19" i="36"/>
  <c r="D33" i="36"/>
  <c r="G10" i="36"/>
  <c r="G24" i="35"/>
  <c r="D23" i="35"/>
  <c r="D44" i="34"/>
  <c r="H38" i="34"/>
  <c r="H44" i="34" s="1"/>
  <c r="H44" i="32"/>
  <c r="H45" i="32" s="1"/>
  <c r="D38" i="33"/>
  <c r="G29" i="34" l="1"/>
  <c r="G28" i="34" s="1"/>
  <c r="D28" i="34"/>
  <c r="D33" i="34" s="1"/>
  <c r="D45" i="34" s="1"/>
  <c r="G33" i="34"/>
  <c r="G29" i="33"/>
  <c r="D28" i="33"/>
  <c r="D33" i="33" s="1"/>
  <c r="H45" i="34"/>
  <c r="D7" i="35"/>
  <c r="G6" i="33"/>
  <c r="D10" i="38"/>
  <c r="G33" i="36"/>
  <c r="G23" i="35"/>
  <c r="D24" i="36"/>
  <c r="G19" i="36"/>
  <c r="D17" i="36"/>
  <c r="D36" i="36" s="1"/>
  <c r="H38" i="33"/>
  <c r="D39" i="35" s="1"/>
  <c r="D44" i="33"/>
  <c r="D45" i="33" l="1"/>
  <c r="D30" i="35"/>
  <c r="G28" i="33"/>
  <c r="G33" i="33"/>
  <c r="G7" i="35"/>
  <c r="D6" i="35"/>
  <c r="D33" i="38"/>
  <c r="G17" i="36"/>
  <c r="D19" i="38"/>
  <c r="G10" i="38"/>
  <c r="G24" i="36"/>
  <c r="D23" i="36"/>
  <c r="H44" i="33"/>
  <c r="H45" i="33" s="1"/>
  <c r="G30" i="35" l="1"/>
  <c r="D29" i="35"/>
  <c r="D34" i="35" s="1"/>
  <c r="D7" i="36"/>
  <c r="G6" i="35"/>
  <c r="D10" i="39"/>
  <c r="G19" i="38"/>
  <c r="D17" i="38"/>
  <c r="D36" i="38" s="1"/>
  <c r="G23" i="36"/>
  <c r="D24" i="38"/>
  <c r="G33" i="38"/>
  <c r="D45" i="35"/>
  <c r="H39" i="35"/>
  <c r="D46" i="35" l="1"/>
  <c r="G7" i="36"/>
  <c r="D6" i="36"/>
  <c r="D31" i="36"/>
  <c r="G29" i="35"/>
  <c r="G34" i="35" s="1"/>
  <c r="D33" i="39"/>
  <c r="G17" i="38"/>
  <c r="D19" i="39"/>
  <c r="G10" i="39"/>
  <c r="D23" i="38"/>
  <c r="G24" i="38"/>
  <c r="H45" i="35"/>
  <c r="D40" i="36"/>
  <c r="D35" i="36" l="1"/>
  <c r="G31" i="36"/>
  <c r="D30" i="36"/>
  <c r="D7" i="38"/>
  <c r="G6" i="36"/>
  <c r="H46" i="35"/>
  <c r="D10" i="40"/>
  <c r="G23" i="38"/>
  <c r="D24" i="39"/>
  <c r="G24" i="39" s="1"/>
  <c r="D24" i="40" s="1"/>
  <c r="D17" i="39"/>
  <c r="D36" i="39" s="1"/>
  <c r="G19" i="39"/>
  <c r="G33" i="39"/>
  <c r="H40" i="36"/>
  <c r="D46" i="36"/>
  <c r="D47" i="36" s="1"/>
  <c r="D31" i="38" l="1"/>
  <c r="G30" i="36"/>
  <c r="G35" i="36"/>
  <c r="G7" i="38"/>
  <c r="D6" i="38"/>
  <c r="G24" i="40"/>
  <c r="D24" i="45" s="1"/>
  <c r="D23" i="40"/>
  <c r="D33" i="40"/>
  <c r="G17" i="39"/>
  <c r="D19" i="40"/>
  <c r="G10" i="40"/>
  <c r="D10" i="45" s="1"/>
  <c r="G23" i="39"/>
  <c r="D23" i="39"/>
  <c r="H46" i="36"/>
  <c r="D40" i="38"/>
  <c r="D46" i="38" s="1"/>
  <c r="D7" i="39" l="1"/>
  <c r="G6" i="38"/>
  <c r="H47" i="36"/>
  <c r="G31" i="38"/>
  <c r="D30" i="38"/>
  <c r="D35" i="38" s="1"/>
  <c r="D47" i="38" s="1"/>
  <c r="G24" i="45"/>
  <c r="G23" i="45" s="1"/>
  <c r="D23" i="45"/>
  <c r="G10" i="45"/>
  <c r="G23" i="40"/>
  <c r="G33" i="40"/>
  <c r="D33" i="45" s="1"/>
  <c r="G19" i="40"/>
  <c r="D19" i="45" s="1"/>
  <c r="D17" i="40"/>
  <c r="D36" i="40" s="1"/>
  <c r="H40" i="38"/>
  <c r="D31" i="39" l="1"/>
  <c r="G30" i="38"/>
  <c r="G35" i="38"/>
  <c r="G7" i="39"/>
  <c r="D6" i="39"/>
  <c r="G33" i="45"/>
  <c r="G19" i="45"/>
  <c r="G17" i="45" s="1"/>
  <c r="D17" i="45"/>
  <c r="D36" i="45" s="1"/>
  <c r="G17" i="40"/>
  <c r="H46" i="38"/>
  <c r="H47" i="38" s="1"/>
  <c r="D40" i="39"/>
  <c r="D7" i="40" l="1"/>
  <c r="G6" i="39"/>
  <c r="G31" i="39"/>
  <c r="D30" i="39"/>
  <c r="D35" i="39" s="1"/>
  <c r="D10" i="42"/>
  <c r="D24" i="42"/>
  <c r="D46" i="39"/>
  <c r="H40" i="39"/>
  <c r="D47" i="39" l="1"/>
  <c r="G7" i="40"/>
  <c r="D6" i="40"/>
  <c r="D31" i="40"/>
  <c r="G30" i="39"/>
  <c r="G35" i="39" s="1"/>
  <c r="G24" i="42"/>
  <c r="D24" i="43" s="1"/>
  <c r="D23" i="42"/>
  <c r="D33" i="42"/>
  <c r="G10" i="42"/>
  <c r="D19" i="42"/>
  <c r="H46" i="39"/>
  <c r="D40" i="40"/>
  <c r="H47" i="39" l="1"/>
  <c r="G31" i="40"/>
  <c r="D30" i="40"/>
  <c r="D35" i="40" s="1"/>
  <c r="D7" i="45"/>
  <c r="G6" i="40"/>
  <c r="D10" i="43"/>
  <c r="G23" i="42"/>
  <c r="G19" i="42"/>
  <c r="D17" i="42"/>
  <c r="D36" i="42" s="1"/>
  <c r="G33" i="42"/>
  <c r="H40" i="40"/>
  <c r="D40" i="45" s="1"/>
  <c r="D46" i="40"/>
  <c r="D47" i="40" l="1"/>
  <c r="G7" i="45"/>
  <c r="D6" i="45"/>
  <c r="D31" i="45"/>
  <c r="G30" i="40"/>
  <c r="G35" i="40" s="1"/>
  <c r="H40" i="45"/>
  <c r="H46" i="45" s="1"/>
  <c r="D46" i="45"/>
  <c r="D23" i="43"/>
  <c r="G24" i="43"/>
  <c r="G10" i="43"/>
  <c r="G17" i="42"/>
  <c r="D19" i="43"/>
  <c r="H46" i="40"/>
  <c r="G31" i="45" l="1"/>
  <c r="D30" i="45"/>
  <c r="H47" i="40"/>
  <c r="D7" i="42"/>
  <c r="G6" i="45"/>
  <c r="D35" i="45"/>
  <c r="D47" i="45" s="1"/>
  <c r="D10" i="44"/>
  <c r="G23" i="43"/>
  <c r="D24" i="44"/>
  <c r="G19" i="43"/>
  <c r="D17" i="43"/>
  <c r="D34" i="43" s="1"/>
  <c r="G7" i="42" l="1"/>
  <c r="D6" i="42"/>
  <c r="D31" i="42"/>
  <c r="G30" i="45"/>
  <c r="G35" i="45" s="1"/>
  <c r="H47" i="45" s="1"/>
  <c r="G10" i="44"/>
  <c r="G17" i="43"/>
  <c r="D19" i="44"/>
  <c r="G24" i="44"/>
  <c r="C24" i="47" s="1"/>
  <c r="D23" i="44"/>
  <c r="D40" i="42"/>
  <c r="G31" i="42" l="1"/>
  <c r="D31" i="43" s="1"/>
  <c r="D30" i="42"/>
  <c r="D35" i="42"/>
  <c r="D7" i="43"/>
  <c r="G6" i="42"/>
  <c r="F24" i="47"/>
  <c r="F23" i="47" s="1"/>
  <c r="C23" i="47"/>
  <c r="G23" i="44"/>
  <c r="C24" i="46"/>
  <c r="C10" i="46"/>
  <c r="D17" i="44"/>
  <c r="D35" i="44" s="1"/>
  <c r="G19" i="44"/>
  <c r="D46" i="42"/>
  <c r="D47" i="42" s="1"/>
  <c r="H40" i="42"/>
  <c r="G7" i="43" l="1"/>
  <c r="D6" i="43"/>
  <c r="G31" i="43"/>
  <c r="D32" i="44" s="1"/>
  <c r="F10" i="46"/>
  <c r="G17" i="44"/>
  <c r="C19" i="46"/>
  <c r="C23" i="46"/>
  <c r="F24" i="46"/>
  <c r="F23" i="46" s="1"/>
  <c r="H46" i="42"/>
  <c r="D38" i="43"/>
  <c r="G32" i="42"/>
  <c r="F30" i="42"/>
  <c r="F35" i="42" s="1"/>
  <c r="G32" i="44" l="1"/>
  <c r="C32" i="46" s="1"/>
  <c r="D7" i="44"/>
  <c r="G6" i="43"/>
  <c r="C10" i="47"/>
  <c r="F19" i="46"/>
  <c r="C17" i="46"/>
  <c r="C36" i="46" s="1"/>
  <c r="G30" i="42"/>
  <c r="G35" i="42" s="1"/>
  <c r="H47" i="42" s="1"/>
  <c r="D32" i="43"/>
  <c r="D30" i="43" s="1"/>
  <c r="D44" i="43"/>
  <c r="H38" i="43"/>
  <c r="G7" i="44" l="1"/>
  <c r="D6" i="44"/>
  <c r="F32" i="46"/>
  <c r="F17" i="46"/>
  <c r="C19" i="47"/>
  <c r="F10" i="47"/>
  <c r="H44" i="43"/>
  <c r="D39" i="44"/>
  <c r="G32" i="43"/>
  <c r="D33" i="44" s="1"/>
  <c r="D31" i="44" s="1"/>
  <c r="C32" i="47" l="1"/>
  <c r="C7" i="46"/>
  <c r="G6" i="44"/>
  <c r="F19" i="47"/>
  <c r="F17" i="47" s="1"/>
  <c r="C17" i="47"/>
  <c r="C36" i="47" s="1"/>
  <c r="D33" i="43"/>
  <c r="D45" i="43" s="1"/>
  <c r="H39" i="44"/>
  <c r="D45" i="44"/>
  <c r="G30" i="43"/>
  <c r="G33" i="43" s="1"/>
  <c r="H45" i="43" s="1"/>
  <c r="F7" i="46" l="1"/>
  <c r="C6" i="46"/>
  <c r="F32" i="47"/>
  <c r="H45" i="44"/>
  <c r="C40" i="46"/>
  <c r="G33" i="44"/>
  <c r="C34" i="46" s="1"/>
  <c r="D34" i="44"/>
  <c r="D46" i="44" s="1"/>
  <c r="F34" i="46" l="1"/>
  <c r="C31" i="46"/>
  <c r="C35" i="46" s="1"/>
  <c r="C7" i="47"/>
  <c r="F6" i="46"/>
  <c r="G40" i="46"/>
  <c r="C46" i="46"/>
  <c r="G34" i="44"/>
  <c r="H46" i="44" s="1"/>
  <c r="G31" i="44"/>
  <c r="C47" i="46" l="1"/>
  <c r="F7" i="47"/>
  <c r="F6" i="47" s="1"/>
  <c r="C6" i="47"/>
  <c r="C34" i="47"/>
  <c r="F31" i="46"/>
  <c r="F35" i="46"/>
  <c r="G46" i="46"/>
  <c r="G47" i="46" s="1"/>
  <c r="C40" i="47"/>
  <c r="F40" i="47" s="1"/>
  <c r="F34" i="47" l="1"/>
  <c r="F31" i="47" s="1"/>
  <c r="C31" i="47"/>
  <c r="F35" i="47"/>
  <c r="C35" i="47"/>
  <c r="C46" i="47"/>
  <c r="C47" i="47" l="1"/>
  <c r="F46" i="47"/>
  <c r="F47" i="4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</authors>
  <commentList>
    <comment ref="E7" authorId="0" shapeId="0" xr:uid="{00546EF7-3CFD-4EDA-9ECA-38B9D9DFE6AD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Spire/NNB Interest
</t>
        </r>
      </text>
    </comment>
    <comment ref="F7" authorId="0" shapeId="0" xr:uid="{48FAFCAF-00BB-4F0F-B5D9-96E4B60D14A5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236.65 Leave
657.68 staff time
-5773.32 overhead
</t>
        </r>
      </text>
    </comment>
    <comment ref="G43" authorId="0" shapeId="0" xr:uid="{15189BF9-87B9-458F-B488-A06E2DFF11B9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Rent
10 withdrawal fee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</authors>
  <commentList>
    <comment ref="E7" authorId="0" shapeId="0" xr:uid="{B1C0AD80-7FCC-4003-9600-5AD2975852A1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Spire/NNB Interest 113.28
Area 3 Mtgs. 674.30
</t>
        </r>
      </text>
    </comment>
    <comment ref="F7" authorId="0" shapeId="0" xr:uid="{9C215D52-88CE-4856-8252-80C4A15E3759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187.84 Leave
522.90 staff time
27027.84 overhead
1000 Rent
</t>
        </r>
      </text>
    </comment>
    <comment ref="F31" authorId="0" shapeId="0" xr:uid="{1A58C597-CEEB-4064-9663-83E5CEA5E8C7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275-Mattson well sealing
</t>
        </r>
      </text>
    </comment>
    <comment ref="G45" authorId="0" shapeId="0" xr:uid="{A4E9E522-B751-4A3C-BEB2-69DAC9603D36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Rent 1000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</authors>
  <commentList>
    <comment ref="F7" authorId="0" shapeId="0" xr:uid="{C17E2B50-4719-493C-A876-C81CF1DC42CF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1000-rent
2440.92-leave
450.28-staff time
150-DP/JM budget train
160-well testing ad</t>
        </r>
      </text>
    </comment>
    <comment ref="E45" authorId="0" shapeId="0" xr:uid="{F46CADB4-52EB-4B34-B45E-8BC8290E091E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53.01 interest
</t>
        </r>
      </text>
    </comment>
    <comment ref="G45" authorId="0" shapeId="0" xr:uid="{CC315B03-321F-426A-8DCC-ECA880C49D6B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Rent 1000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</authors>
  <commentList>
    <comment ref="E7" authorId="0" shapeId="0" xr:uid="{28A9A43D-37F4-4AE9-9AD5-B7AF28641C26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 rental agreement
112.58 interest
</t>
        </r>
      </text>
    </comment>
    <comment ref="F7" authorId="0" shapeId="0" xr:uid="{5D865B1B-7459-4F1A-84A8-AE6FCABDB093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1000-rent
1024.12-leave
508.38-staff time
</t>
        </r>
      </text>
    </comment>
    <comment ref="E45" authorId="0" shapeId="0" xr:uid="{CC9F6126-B4E5-451B-8067-357C3EC2D630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53.01 interest
</t>
        </r>
      </text>
    </comment>
    <comment ref="G45" authorId="0" shapeId="0" xr:uid="{012727BB-81DA-4290-B6A3-54A3C00A6B89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Rent 1000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</authors>
  <commentList>
    <comment ref="E7" authorId="0" shapeId="0" xr:uid="{C6BBEF5B-928D-44D8-BA1A-EF47F256765A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102.65 interest
814.89-Aitkin SWCD Regional Forester Refund</t>
        </r>
      </text>
    </comment>
    <comment ref="F7" authorId="0" shapeId="0" xr:uid="{68C0ED05-E7A9-45F2-B03D-D65EE2E243F6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1000-rent
2721.05-leave
864.18-staff time
2675-Peterson Audit
-19580.72 Overhead
</t>
        </r>
      </text>
    </comment>
    <comment ref="E26" authorId="0" shapeId="0" xr:uid="{7911C156-F536-4B01-A5C3-1A425B659341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Grant Spent Down
</t>
        </r>
      </text>
    </comment>
    <comment ref="E45" authorId="0" shapeId="0" xr:uid="{3A748AFD-A0EB-48B5-B4E2-FD83CB149355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53.01 interest
</t>
        </r>
      </text>
    </comment>
    <comment ref="G45" authorId="0" shapeId="0" xr:uid="{53C2D888-98D1-469A-9149-7058FA10BE4B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Rent 1000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</authors>
  <commentList>
    <comment ref="E7" authorId="0" shapeId="0" xr:uid="{0C3B3F1A-0B4E-4EA5-B67D-07CB675F10A1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97.62 interest
</t>
        </r>
      </text>
    </comment>
    <comment ref="F7" authorId="0" shapeId="0" xr:uid="{96FBF14A-BD3C-46C7-A5FA-067E9EABD7E0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1000-rent
6192.83-leave
1406.12-staff time
 Overhead
3357.62 Supervisor Expense
565.38 Phone Expense</t>
        </r>
      </text>
    </comment>
    <comment ref="E45" authorId="0" shapeId="0" xr:uid="{B1D2A64D-9135-4889-B34C-7B185D2CB1BA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47.96 interest
</t>
        </r>
      </text>
    </comment>
    <comment ref="G45" authorId="0" shapeId="0" xr:uid="{D31937B2-C72A-49E8-AEE5-C8B0B769CF74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Rent 1000
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</authors>
  <commentList>
    <comment ref="E7" authorId="0" shapeId="0" xr:uid="{238264EE-8EE3-4EE4-B807-2F6A6BCE20A0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77.51 interest
1840.12-reconc. Cap19 staff time
5000-Pokegema Lake Assoc.
11.82-Rec. Buffer 2019
2470.50-SCS 18-zero balance
1870.05-Zero St. Croix N Red 2020
4311.52-zerco Cty Allocation
1036.92-zero WCA 2020 balance
82.36-zero 20 balance
1934.42-zero 2017 plat book balance
2716.16-zero 2020 tree sales
1500-St. Croix N Donation (1000+500)</t>
        </r>
      </text>
    </comment>
    <comment ref="F7" authorId="0" shapeId="0" xr:uid="{880E683F-7D77-4746-ABD9-84E245DCAD99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1000-rent
2355.50-leave
 Overhead
2034.94-AIS correct 20 balance
2595.00-SCS Tech Ass. Zero
261.45-Zero Con. Del 20'
2040.14-WP Imp. Zero 2020 balance
9.64-zero snake 1W1P 20 balance
6053.29-overhead</t>
        </r>
      </text>
    </comment>
    <comment ref="E8" authorId="0" shapeId="0" xr:uid="{42F9FC2B-0136-45B4-B3C8-5FE7D0F4886D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9.64-correct 20 balance</t>
        </r>
      </text>
    </comment>
    <comment ref="F12" authorId="0" shapeId="0" xr:uid="{4BA7751D-3188-401F-A26E-3CF84F8F174F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1934.42-zero 2017 Plat balance
2716.16-zero 2020 tree sales
</t>
        </r>
      </text>
    </comment>
    <comment ref="F14" authorId="0" shapeId="0" xr:uid="{37BEB31F-A561-4E33-B705-657C4B06048B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82.36-zero 20 balance
</t>
        </r>
      </text>
    </comment>
    <comment ref="F18" authorId="0" shapeId="0" xr:uid="{67BC93B2-623C-4363-9964-CE8B3FCE3DAD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4311.52-zero 20' balance</t>
        </r>
      </text>
    </comment>
    <comment ref="F20" authorId="0" shapeId="0" xr:uid="{B0FE0159-BB14-476A-887B-26CFC2D7A476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1036.92-zero 2020 balance</t>
        </r>
      </text>
    </comment>
    <comment ref="F27" authorId="0" shapeId="0" xr:uid="{87B84C5E-7897-49CB-AACF-14CDE8653314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1840.12-reconcile cap19 staff time
11277.11-21' staff time
</t>
        </r>
      </text>
    </comment>
    <comment ref="E43" authorId="0" shapeId="0" xr:uid="{0D0BDA34-4B3F-414E-AEE5-42F19CDC5179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47.96 interest
</t>
        </r>
      </text>
    </comment>
    <comment ref="G43" authorId="0" shapeId="0" xr:uid="{E688BBEC-46B1-4E59-847D-1B1D62C69138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Rent 1000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</authors>
  <commentList>
    <comment ref="D7" authorId="0" shapeId="0" xr:uid="{806C2287-5ECD-4743-BBED-F8CEBCE178C3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Reconcile 2020 to account for true 2020 year end balance of Dist. gen</t>
        </r>
      </text>
    </comment>
    <comment ref="E7" authorId="0" shapeId="0" xr:uid="{377D00F0-366B-4182-8B23-7949FB33F434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97.62 interest
12275.55-reconc. 20' St. Croix Red.
1840.12-reconc. Cap19 staff time
5000-Pokegema Lake Assoc.
</t>
        </r>
      </text>
    </comment>
    <comment ref="F7" authorId="0" shapeId="0" xr:uid="{EA9F37AB-CDF6-4057-B091-7304765DDC1E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1000-rent
1535.78-leave
Overhead
55-uof cont. edu staff time
193.15-DP Computer Adobe Software
125.46-Misct. Office supplies
</t>
        </r>
      </text>
    </comment>
    <comment ref="F10" authorId="0" shapeId="0" xr:uid="{2E666F64-1D7C-4363-98CE-E096AD8DC4B3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2780.93-ML SWCD staff time
3044.07-TSA Staff Time
72-Water Testing-RMB</t>
        </r>
      </text>
    </comment>
    <comment ref="E12" authorId="0" shapeId="0" xr:uid="{3612248A-E65C-47D1-9AC2-8F168720E545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2823.88-tree sales
168.40-plat book sales</t>
        </r>
      </text>
    </comment>
    <comment ref="E44" authorId="0" shapeId="0" xr:uid="{EAF59F82-CD68-4E8F-9232-85C4050D0DB6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47.96 interest
76000-transfer from NNB</t>
        </r>
      </text>
    </comment>
    <comment ref="G44" authorId="0" shapeId="0" xr:uid="{BBC5F884-594F-444C-87B0-E5AFFD009EDB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Rent 1000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</authors>
  <commentList>
    <comment ref="C7" authorId="0" shapeId="0" xr:uid="{1F85DDC3-538B-44C6-873D-DF195F0E1EAB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Reconcile 2020 to account for true 2020 year end balance of Dist. gen</t>
        </r>
      </text>
    </comment>
    <comment ref="D7" authorId="0" shapeId="0" xr:uid="{794AC06B-90A6-4FE7-BE00-115EF879E056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116.93 interest
550-Fish Lake Shoreline Rest. Project (donation by Fish Lake Resort)
</t>
        </r>
      </text>
    </comment>
    <comment ref="E7" authorId="0" shapeId="0" xr:uid="{DAAEC33C-890B-4BF3-9668-8498605A92CD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1000-rent
1535.78-leave
Overhead
100.00-Belkholm day at capitol
</t>
        </r>
      </text>
    </comment>
    <comment ref="E10" authorId="0" shapeId="0" xr:uid="{C8BFEC9B-93DE-4F2F-84AF-CC1E4CD21840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2780.93-ML SWCD staff time
3044.07-TSA Staff Time
72-Water Testing-RMB</t>
        </r>
      </text>
    </comment>
    <comment ref="D12" authorId="0" shapeId="0" xr:uid="{D0A0E457-4282-4369-868F-0FEDEE7669EC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3816.66-tree sales
165.61-plat book sales</t>
        </r>
      </text>
    </comment>
    <comment ref="D43" authorId="0" shapeId="0" xr:uid="{A0FD4BAE-74C8-468C-8ED1-841A5875AFE0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197.28+137.85=335.13-Genes Per Diem cleared</t>
        </r>
      </text>
    </comment>
    <comment ref="D45" authorId="0" shapeId="0" xr:uid="{09706EEA-8482-4685-9307-4C1F45B18842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50.52 interest
</t>
        </r>
      </text>
    </comment>
    <comment ref="F45" authorId="0" shapeId="0" xr:uid="{517D4E93-87A0-4AD8-849A-D063B73312E7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Rent 1000
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</authors>
  <commentList>
    <comment ref="C7" authorId="0" shapeId="0" xr:uid="{679895E4-3DF4-4664-8733-44227B576D84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Reconcile 2020 to account for true 2020 year end balance of Dist. gen</t>
        </r>
      </text>
    </comment>
    <comment ref="D7" authorId="0" shapeId="0" xr:uid="{7E884572-C833-4911-8279-5FBEE7ED91F4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113.02 interest
</t>
        </r>
      </text>
    </comment>
    <comment ref="E7" authorId="0" shapeId="0" xr:uid="{2E48DFE4-CF15-46BA-A145-E6237C168A04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1000-rent
537.97
-leave
Overhead
</t>
        </r>
      </text>
    </comment>
    <comment ref="E10" authorId="0" shapeId="0" xr:uid="{FA3EE31B-7CEA-4FB6-BCE4-96BAEB46FE59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2780.93-ML SWCD staff time
3044.07-TSA Staff Time
72-Water Testing-RMB</t>
        </r>
      </text>
    </comment>
    <comment ref="D12" authorId="0" shapeId="0" xr:uid="{F0BBEEB6-E40C-490B-BD7E-12489D05A72E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3816.66-tree sales
165.61-plat book sales</t>
        </r>
      </text>
    </comment>
    <comment ref="D41" authorId="0" shapeId="0" xr:uid="{97F75C68-9C42-48D9-874B-4B17CF423A9E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24000-transfer
64.14-interest</t>
        </r>
      </text>
    </comment>
    <comment ref="D43" authorId="0" shapeId="0" xr:uid="{79216073-75FA-419E-9511-98F0A53204E2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197.28+137.85=335.13-Genes Per Diem cleared</t>
        </r>
      </text>
    </comment>
    <comment ref="D45" authorId="0" shapeId="0" xr:uid="{F5C47AB2-EE00-4B1C-9A80-B20ADD75A3BD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48.90 interest
</t>
        </r>
      </text>
    </comment>
    <comment ref="E45" authorId="0" shapeId="0" xr:uid="{7B7852E4-9788-477B-B8FA-6D7BC7446243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Rent 1000
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  <author>jerah</author>
  </authors>
  <commentList>
    <comment ref="C7" authorId="0" shapeId="0" xr:uid="{052664C4-2934-472C-B764-484EB41BBE73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Reconcile 2020 to account for true 2020 year end balance of Dist. gen</t>
        </r>
      </text>
    </comment>
    <comment ref="D7" authorId="0" shapeId="0" xr:uid="{B9AA127E-99D6-4961-BB01-F64FD596162F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106.84 interest
37.42-Rentall-weed wrench
</t>
        </r>
      </text>
    </comment>
    <comment ref="E7" authorId="0" shapeId="0" xr:uid="{508062F8-856E-4DAB-BBD9-505A882EDBD7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1000-rent
598.32-leave
-20,873.71Overhead
155.35-Newsletter Mailing (NRCS Agreement)
297.76-Newsletter Mailing
200-JV training
1754.93-admin computer
169.87-misc. office supplies
</t>
        </r>
      </text>
    </comment>
    <comment ref="E8" authorId="1" shapeId="0" xr:uid="{7CCCA7B5-34FA-46C8-BC5F-1A51CB606CF7}">
      <text>
        <r>
          <rPr>
            <b/>
            <sz val="9"/>
            <color indexed="81"/>
            <rFont val="Tahoma"/>
            <family val="2"/>
          </rPr>
          <t>jerah:</t>
        </r>
        <r>
          <rPr>
            <sz val="9"/>
            <color indexed="81"/>
            <rFont val="Tahoma"/>
            <family val="2"/>
          </rPr>
          <t xml:space="preserve">
116.51-Newsletter Mailing
</t>
        </r>
      </text>
    </comment>
    <comment ref="E10" authorId="0" shapeId="0" xr:uid="{A2C549A4-43C2-4DCA-AE45-9644906CB5EA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2780.93-ML SWCD staff time
3044.07-TSA Staff Time
72-Water Testing-RMB</t>
        </r>
      </text>
    </comment>
    <comment ref="D12" authorId="0" shapeId="0" xr:uid="{45AEE66E-9C19-4358-B672-82B7C7E35FA6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264.12-Tree &amp; Specialty
235.77-Plat Books</t>
        </r>
      </text>
    </comment>
    <comment ref="E12" authorId="1" shapeId="0" xr:uid="{9472F0BE-852A-4D2F-9E77-BCB597BDAA86}">
      <text>
        <r>
          <rPr>
            <b/>
            <sz val="9"/>
            <color indexed="81"/>
            <rFont val="Tahoma"/>
            <family val="2"/>
          </rPr>
          <t>jerah:</t>
        </r>
        <r>
          <rPr>
            <sz val="9"/>
            <color indexed="81"/>
            <rFont val="Tahoma"/>
            <family val="2"/>
          </rPr>
          <t xml:space="preserve">
155.35-Newsletter Mailing</t>
        </r>
      </text>
    </comment>
    <comment ref="E14" authorId="1" shapeId="0" xr:uid="{BB75FD04-AD79-476B-A349-8DE6591E8A14}">
      <text>
        <r>
          <rPr>
            <b/>
            <sz val="9"/>
            <color indexed="81"/>
            <rFont val="Tahoma"/>
            <family val="2"/>
          </rPr>
          <t>jerah:</t>
        </r>
        <r>
          <rPr>
            <sz val="9"/>
            <color indexed="81"/>
            <rFont val="Tahoma"/>
            <family val="2"/>
          </rPr>
          <t xml:space="preserve">
77.68-Newsletter Mailing</t>
        </r>
      </text>
    </comment>
    <comment ref="E19" authorId="1" shapeId="0" xr:uid="{076F7B0E-A554-4BA8-BC97-121204727B12}">
      <text>
        <r>
          <rPr>
            <b/>
            <sz val="9"/>
            <color indexed="81"/>
            <rFont val="Tahoma"/>
            <family val="2"/>
          </rPr>
          <t>jerah:</t>
        </r>
        <r>
          <rPr>
            <sz val="9"/>
            <color indexed="81"/>
            <rFont val="Tahoma"/>
            <family val="2"/>
          </rPr>
          <t xml:space="preserve">
1.07-Sponge
38.84-Newsletter Mailing
</t>
        </r>
      </text>
    </comment>
    <comment ref="E22" authorId="1" shapeId="0" xr:uid="{750B6B0E-5D75-4196-823B-C1BB77BA925D}">
      <text>
        <r>
          <rPr>
            <b/>
            <sz val="9"/>
            <color indexed="81"/>
            <rFont val="Tahoma"/>
            <family val="2"/>
          </rPr>
          <t>jerah:</t>
        </r>
        <r>
          <rPr>
            <sz val="9"/>
            <color indexed="81"/>
            <rFont val="Tahoma"/>
            <family val="2"/>
          </rPr>
          <t xml:space="preserve">
103.56 Newsletter Mailing</t>
        </r>
      </text>
    </comment>
    <comment ref="E27" authorId="1" shapeId="0" xr:uid="{DDDD9B1D-AEE3-4EE9-8CFF-A9A9A3854007}">
      <text>
        <r>
          <rPr>
            <b/>
            <sz val="9"/>
            <color indexed="81"/>
            <rFont val="Tahoma"/>
            <family val="2"/>
          </rPr>
          <t>jerah:</t>
        </r>
        <r>
          <rPr>
            <sz val="9"/>
            <color indexed="81"/>
            <rFont val="Tahoma"/>
            <family val="2"/>
          </rPr>
          <t xml:space="preserve">
258.91-Newsletter Printing</t>
        </r>
      </text>
    </comment>
    <comment ref="E33" authorId="1" shapeId="0" xr:uid="{9392660D-53F2-43E5-99C1-E17824D2A766}">
      <text>
        <r>
          <rPr>
            <b/>
            <sz val="9"/>
            <color indexed="81"/>
            <rFont val="Tahoma"/>
            <family val="2"/>
          </rPr>
          <t>jerah:</t>
        </r>
        <r>
          <rPr>
            <sz val="9"/>
            <color indexed="81"/>
            <rFont val="Tahoma"/>
            <family val="2"/>
          </rPr>
          <t xml:space="preserve">
38.84 Newsletter Mailing</t>
        </r>
      </text>
    </comment>
    <comment ref="D45" authorId="0" shapeId="0" xr:uid="{CEF343ED-7731-46C7-B0C4-51AAB237C3F7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50.54 interest
</t>
        </r>
      </text>
    </comment>
    <comment ref="E45" authorId="0" shapeId="0" xr:uid="{829ECB45-A30F-4FA9-9FB7-34B859DDA3C0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Rent 1000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</authors>
  <commentList>
    <comment ref="D7" authorId="0" shapeId="0" xr:uid="{AF7E9E87-E83B-469A-9B03-D2FA5C46BAE4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364.14 adjusted similar to November End balance.
</t>
        </r>
      </text>
    </comment>
    <comment ref="F7" authorId="0" shapeId="0" xr:uid="{FAC083A0-C704-4291-979A-1C1F4F37A505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Leave 4330.15
Zero Grants 780.51, 487.31 and 545.91</t>
        </r>
      </text>
    </comment>
    <comment ref="E41" authorId="0" shapeId="0" xr:uid="{67C15C04-A176-45FC-8913-CD31125C07C6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 checks were rec. included in dec. should go towards january $374.22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  <author>jerah</author>
  </authors>
  <commentList>
    <comment ref="C7" authorId="0" shapeId="0" xr:uid="{5AB6B9A1-8DD1-4665-B2CD-074BF1DBB70E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Reconcile 2020 to account for true 2020 year end balance of Dist. gen</t>
        </r>
      </text>
    </comment>
    <comment ref="D7" authorId="0" shapeId="0" xr:uid="{BE3BCF9E-D9FF-4971-983F-3E31ADD866C0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110.16 interest
1268-MCIT Contribution Refund
</t>
        </r>
      </text>
    </comment>
    <comment ref="E7" authorId="0" shapeId="0" xr:uid="{60539FBB-4CD7-449E-9E34-E9AC5A109BE7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1000-rent
2198.90-leave
222.88-newsletter (NRCS)
427.19-newsletter
194.32-JV mileage reimburse-lakeshore training (Bemidji)
554.06-intuit annual renewal
-11333.66-overhead</t>
        </r>
      </text>
    </comment>
    <comment ref="E8" authorId="1" shapeId="0" xr:uid="{37AD889E-FD7F-4AD0-8ADF-1A0D5B08D307}">
      <text>
        <r>
          <rPr>
            <b/>
            <sz val="9"/>
            <color indexed="81"/>
            <rFont val="Tahoma"/>
            <family val="2"/>
          </rPr>
          <t>jerah:</t>
        </r>
        <r>
          <rPr>
            <sz val="9"/>
            <color indexed="81"/>
            <rFont val="Tahoma"/>
            <family val="2"/>
          </rPr>
          <t xml:space="preserve">
167.16-newsletter
1850.66-staff time
</t>
        </r>
      </text>
    </comment>
    <comment ref="E10" authorId="0" shapeId="0" xr:uid="{4AAC4914-E60B-4E59-A223-079E25415615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2780.93-ML SWCD staff time
3044.07-TSA Staff Time
72-Water Testing-RMB</t>
        </r>
      </text>
    </comment>
    <comment ref="E12" authorId="1" shapeId="0" xr:uid="{9B3E38D2-B160-43D7-BE83-5EFF4D945B1B}">
      <text>
        <r>
          <rPr>
            <b/>
            <sz val="9"/>
            <color indexed="81"/>
            <rFont val="Tahoma"/>
            <family val="2"/>
          </rPr>
          <t>jerah:</t>
        </r>
        <r>
          <rPr>
            <sz val="9"/>
            <color indexed="81"/>
            <rFont val="Tahoma"/>
            <family val="2"/>
          </rPr>
          <t xml:space="preserve">
222.88-newsletter</t>
        </r>
      </text>
    </comment>
    <comment ref="E14" authorId="1" shapeId="0" xr:uid="{BED5E402-36FC-4356-A27A-E7B10C815D46}">
      <text>
        <r>
          <rPr>
            <b/>
            <sz val="9"/>
            <color indexed="81"/>
            <rFont val="Tahoma"/>
            <family val="2"/>
          </rPr>
          <t>jerah:</t>
        </r>
        <r>
          <rPr>
            <sz val="9"/>
            <color indexed="81"/>
            <rFont val="Tahoma"/>
            <family val="2"/>
          </rPr>
          <t xml:space="preserve">
111.44-newsletter
200.96-staff time</t>
        </r>
      </text>
    </comment>
    <comment ref="D19" authorId="1" shapeId="0" xr:uid="{A98986F4-F48D-4B64-8ED9-5F34F2389E6E}">
      <text>
        <r>
          <rPr>
            <b/>
            <sz val="9"/>
            <color indexed="81"/>
            <rFont val="Tahoma"/>
            <family val="2"/>
          </rPr>
          <t>jerah:</t>
        </r>
        <r>
          <rPr>
            <sz val="9"/>
            <color indexed="81"/>
            <rFont val="Tahoma"/>
            <family val="2"/>
          </rPr>
          <t xml:space="preserve">
management training
BI background checks</t>
        </r>
      </text>
    </comment>
    <comment ref="E19" authorId="1" shapeId="0" xr:uid="{A6934BCB-7E85-4DAC-9006-C185FB4B2020}">
      <text>
        <r>
          <rPr>
            <b/>
            <sz val="9"/>
            <color indexed="81"/>
            <rFont val="Tahoma"/>
            <family val="2"/>
          </rPr>
          <t>jerah:</t>
        </r>
        <r>
          <rPr>
            <sz val="9"/>
            <color indexed="81"/>
            <rFont val="Tahoma"/>
            <family val="2"/>
          </rPr>
          <t xml:space="preserve">
5032.78-staff time
55.72-newsletter
348.10-BI mileage reimburse
120-fair booth
</t>
        </r>
      </text>
    </comment>
    <comment ref="E22" authorId="1" shapeId="0" xr:uid="{2AAB88D3-38E5-4728-A3D6-ECF90E0FAD5B}">
      <text>
        <r>
          <rPr>
            <b/>
            <sz val="9"/>
            <color indexed="81"/>
            <rFont val="Tahoma"/>
            <family val="2"/>
          </rPr>
          <t>jerah:</t>
        </r>
        <r>
          <rPr>
            <sz val="9"/>
            <color indexed="81"/>
            <rFont val="Tahoma"/>
            <family val="2"/>
          </rPr>
          <t xml:space="preserve">
148.58-Newsletter
1304.86-staff time
</t>
        </r>
      </text>
    </comment>
    <comment ref="E27" authorId="1" shapeId="0" xr:uid="{3CD01962-FFEE-4291-9EFF-28DE2E9BB61D}">
      <text>
        <r>
          <rPr>
            <b/>
            <sz val="9"/>
            <color indexed="81"/>
            <rFont val="Tahoma"/>
            <family val="2"/>
          </rPr>
          <t>jerah:</t>
        </r>
        <r>
          <rPr>
            <sz val="9"/>
            <color indexed="81"/>
            <rFont val="Tahoma"/>
            <family val="2"/>
          </rPr>
          <t xml:space="preserve">
371.45-Newsletter
2096.34-Staff Time</t>
        </r>
      </text>
    </comment>
    <comment ref="E33" authorId="1" shapeId="0" xr:uid="{5C3F3D01-CAFE-4E99-997B-57B5F0284110}">
      <text>
        <r>
          <rPr>
            <b/>
            <sz val="9"/>
            <color indexed="81"/>
            <rFont val="Tahoma"/>
            <family val="2"/>
          </rPr>
          <t>jerah:</t>
        </r>
        <r>
          <rPr>
            <sz val="9"/>
            <color indexed="81"/>
            <rFont val="Tahoma"/>
            <family val="2"/>
          </rPr>
          <t xml:space="preserve">
55.72 Newsletter Mailing
2346.70-staff time</t>
        </r>
      </text>
    </comment>
    <comment ref="D44" authorId="1" shapeId="0" xr:uid="{653DB7A4-7AE9-4A96-8243-3A1257D0D92B}">
      <text>
        <r>
          <rPr>
            <b/>
            <sz val="9"/>
            <color indexed="81"/>
            <rFont val="Tahoma"/>
            <family val="2"/>
          </rPr>
          <t>jerah:</t>
        </r>
        <r>
          <rPr>
            <sz val="9"/>
            <color indexed="81"/>
            <rFont val="Tahoma"/>
            <family val="2"/>
          </rPr>
          <t xml:space="preserve">
20-uncleared
</t>
        </r>
      </text>
    </comment>
    <comment ref="D45" authorId="0" shapeId="0" xr:uid="{61A39F17-ED02-4F2D-BF0D-382C2B0CD289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50.54 interest
</t>
        </r>
      </text>
    </comment>
    <comment ref="E45" authorId="0" shapeId="0" xr:uid="{DA11BC15-81F5-4690-9CF9-D8579956E502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Rent 2000
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  <author>jerah</author>
  </authors>
  <commentList>
    <comment ref="C7" authorId="0" shapeId="0" xr:uid="{0E375DEA-9BB8-4593-8870-531C805399E2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Reconcile 2020 to account for true 2020 year end balance of Dist. gen</t>
        </r>
      </text>
    </comment>
    <comment ref="D7" authorId="0" shapeId="0" xr:uid="{CDB73488-10BF-450E-8EDB-E0A94ED1A2D5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110.16 interest
1268-MCIT Contribution Refund
</t>
        </r>
      </text>
    </comment>
    <comment ref="E7" authorId="0" shapeId="0" xr:uid="{BD32A0E6-FB00-4C38-BCBD-58C86270233B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1000-rent
4065.56-leav
1907.92-supervisor perdiem
4753.19-overhead</t>
        </r>
      </text>
    </comment>
    <comment ref="E10" authorId="0" shapeId="0" xr:uid="{B97B4562-BA1B-4EE8-9B55-D1A1D4B5FCFD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2780.93-ML SWCD staff time
3044.07-TSA Staff Time
72-Water Testing-RMB</t>
        </r>
      </text>
    </comment>
    <comment ref="E12" authorId="1" shapeId="0" xr:uid="{41AF681E-CA8B-4601-9160-F5EB3482D16D}">
      <text>
        <r>
          <rPr>
            <b/>
            <sz val="9"/>
            <color indexed="81"/>
            <rFont val="Tahoma"/>
            <family val="2"/>
          </rPr>
          <t>jerah:</t>
        </r>
        <r>
          <rPr>
            <sz val="9"/>
            <color indexed="81"/>
            <rFont val="Tahoma"/>
            <family val="2"/>
          </rPr>
          <t xml:space="preserve">
222.88-newsletter</t>
        </r>
      </text>
    </comment>
    <comment ref="E14" authorId="1" shapeId="0" xr:uid="{30BD26BC-6720-4E8D-8C21-3DF5E03EDBDF}">
      <text>
        <r>
          <rPr>
            <b/>
            <sz val="9"/>
            <color indexed="81"/>
            <rFont val="Tahoma"/>
            <family val="2"/>
          </rPr>
          <t>jerah:</t>
        </r>
        <r>
          <rPr>
            <sz val="9"/>
            <color indexed="81"/>
            <rFont val="Tahoma"/>
            <family val="2"/>
          </rPr>
          <t xml:space="preserve">
111.44-newsletter
200.96-staff time</t>
        </r>
      </text>
    </comment>
    <comment ref="E19" authorId="1" shapeId="0" xr:uid="{A82B6A15-ABB2-4C07-A626-5E89A32C0068}">
      <text>
        <r>
          <rPr>
            <b/>
            <sz val="9"/>
            <color indexed="81"/>
            <rFont val="Tahoma"/>
            <family val="2"/>
          </rPr>
          <t>jerah:</t>
        </r>
        <r>
          <rPr>
            <sz val="9"/>
            <color indexed="81"/>
            <rFont val="Tahoma"/>
            <family val="2"/>
          </rPr>
          <t xml:space="preserve">
3430.09-staff time
306.94-BI Mileage reimbur
500-leseuer video donation
</t>
        </r>
      </text>
    </comment>
    <comment ref="E27" authorId="1" shapeId="0" xr:uid="{72D5A08B-0936-4940-B8E3-DCD2959725C8}">
      <text>
        <r>
          <rPr>
            <b/>
            <sz val="9"/>
            <color indexed="81"/>
            <rFont val="Tahoma"/>
            <family val="2"/>
          </rPr>
          <t>jerah:</t>
        </r>
        <r>
          <rPr>
            <sz val="9"/>
            <color indexed="81"/>
            <rFont val="Tahoma"/>
            <family val="2"/>
          </rPr>
          <t xml:space="preserve">
371.45-Newsletter
2096.34-Staff Time</t>
        </r>
      </text>
    </comment>
    <comment ref="E44" authorId="1" shapeId="0" xr:uid="{8C559C29-F35D-4834-8C30-4891CAC2D5C3}">
      <text>
        <r>
          <rPr>
            <b/>
            <sz val="9"/>
            <color indexed="81"/>
            <rFont val="Tahoma"/>
            <family val="2"/>
          </rPr>
          <t>jerah:</t>
        </r>
        <r>
          <rPr>
            <sz val="9"/>
            <color indexed="81"/>
            <rFont val="Tahoma"/>
            <family val="2"/>
          </rPr>
          <t xml:space="preserve">
20 uncleared, entered in twice
</t>
        </r>
      </text>
    </comment>
    <comment ref="D45" authorId="0" shapeId="0" xr:uid="{EB9121BB-FD9E-4F6F-87C5-2DF7986540D7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50.54 interest
</t>
        </r>
      </text>
    </comment>
    <comment ref="E45" authorId="0" shapeId="0" xr:uid="{FCE8A779-09F7-4EA4-92D4-B7BAFBD5869F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Rent 1000
Withdrawl fee 10
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  <author>jerah</author>
  </authors>
  <commentList>
    <comment ref="C7" authorId="0" shapeId="0" xr:uid="{E5A39C78-E250-485D-AB67-1303E7B27CDF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Reconcile 2020 to account for true 2020 year end balance of Dist. gen</t>
        </r>
      </text>
    </comment>
    <comment ref="D7" authorId="0" shapeId="0" xr:uid="{737CCE9C-3055-485A-83A9-0C0651F1AFE7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104.13 interest
6000-Pokegema Lake Assoc/Hwy 65 project
</t>
        </r>
      </text>
    </comment>
    <comment ref="E7" authorId="0" shapeId="0" xr:uid="{A387756B-A8D3-49DD-B43C-E5526A967B1A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1000-rent
1634.10-leav
4086.25-overhead</t>
        </r>
      </text>
    </comment>
    <comment ref="E10" authorId="0" shapeId="0" xr:uid="{58F65DAB-6C04-4AE4-9320-EA5719E33D03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2780.93-ML SWCD staff time
3044.07-TSA Staff Time
72-Water Testing-RMB</t>
        </r>
      </text>
    </comment>
    <comment ref="E44" authorId="1" shapeId="0" xr:uid="{6A54290C-B644-4790-BF0F-81CB03B71745}">
      <text>
        <r>
          <rPr>
            <b/>
            <sz val="9"/>
            <color indexed="81"/>
            <rFont val="Tahoma"/>
            <family val="2"/>
          </rPr>
          <t>jerah:</t>
        </r>
        <r>
          <rPr>
            <sz val="9"/>
            <color indexed="81"/>
            <rFont val="Tahoma"/>
            <family val="2"/>
          </rPr>
          <t xml:space="preserve">
20 uncleared, entered in twice
</t>
        </r>
      </text>
    </comment>
    <comment ref="D45" authorId="0" shapeId="0" xr:uid="{C01E6534-5E65-4586-B359-A95C7AEF51F9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50.57
 interest
</t>
        </r>
      </text>
    </comment>
    <comment ref="E45" authorId="0" shapeId="0" xr:uid="{D4C770F0-172F-4C9A-88FA-A110630ED3DE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Rent 1000
Withdrawl fee 10
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  <author>jerah</author>
  </authors>
  <commentList>
    <comment ref="C7" authorId="0" shapeId="0" xr:uid="{F645FB77-8BD6-4EDE-BEAE-1696FF24D779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Reconcile 2020 to account for true 2020 year end balance of Dist. gen</t>
        </r>
      </text>
    </comment>
    <comment ref="D7" authorId="0" shapeId="0" xr:uid="{3E5811C1-326F-483F-BEFD-B40057E7BEB3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95.52 interest
900-soil health day
</t>
        </r>
      </text>
    </comment>
    <comment ref="E7" authorId="0" shapeId="0" xr:uid="{06D88709-3C23-4218-9DFB-B436CBA3AC05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1000-rent
2327.11-leav
-11689.52-overhead
507.42-soil health day staff time
433.34-soil health day</t>
        </r>
      </text>
    </comment>
    <comment ref="E10" authorId="0" shapeId="0" xr:uid="{E9789656-823A-44BA-A8F0-EF8FBA180891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2780.93-ML SWCD staff time
3044.07-TSA Staff Time
72-Water Testing-RMB</t>
        </r>
      </text>
    </comment>
    <comment ref="E44" authorId="1" shapeId="0" xr:uid="{8183805B-D130-466C-BCEC-8AC897436157}">
      <text>
        <r>
          <rPr>
            <b/>
            <sz val="9"/>
            <color indexed="81"/>
            <rFont val="Tahoma"/>
            <family val="2"/>
          </rPr>
          <t>jerah:</t>
        </r>
        <r>
          <rPr>
            <sz val="9"/>
            <color indexed="81"/>
            <rFont val="Tahoma"/>
            <family val="2"/>
          </rPr>
          <t xml:space="preserve">
20 uncleared, entered in twice
</t>
        </r>
      </text>
    </comment>
    <comment ref="D45" authorId="0" shapeId="0" xr:uid="{CC61D59D-C6D3-4CD9-985D-E971058135F2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48.21
 interest
</t>
        </r>
      </text>
    </comment>
    <comment ref="E45" authorId="0" shapeId="0" xr:uid="{80B50AA7-37F0-46D0-9D1C-9B7FA07629F2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Rent 1000
6000 transfer from savings to checking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  <author>jerah</author>
  </authors>
  <commentList>
    <comment ref="D7" authorId="0" shapeId="0" xr:uid="{46143D21-7491-4557-A913-9961BAE7D8C6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95.52 interest
100-Rental equip
</t>
        </r>
      </text>
    </comment>
    <comment ref="E7" authorId="0" shapeId="0" xr:uid="{A5F39C1C-9AF7-4191-AF3C-0F6484107F57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1000-rent
1086.52-leave
-11689.52-overhead
2039.52-Supervisor Expenses</t>
        </r>
      </text>
    </comment>
    <comment ref="E10" authorId="0" shapeId="0" xr:uid="{B33824A0-B98B-4A5A-AC48-991C728F3340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2780.93-ML SWCD staff time
3044.07-TSA Staff Time
72-Water Testing-RMB</t>
        </r>
      </text>
    </comment>
    <comment ref="E19" authorId="1" shapeId="0" xr:uid="{B5C97984-EDDA-4162-9CB5-BE50E9FD877E}">
      <text>
        <r>
          <rPr>
            <b/>
            <sz val="9"/>
            <color indexed="81"/>
            <rFont val="Tahoma"/>
            <family val="2"/>
          </rPr>
          <t>jerah:</t>
        </r>
        <r>
          <rPr>
            <sz val="9"/>
            <color indexed="81"/>
            <rFont val="Tahoma"/>
            <family val="2"/>
          </rPr>
          <t xml:space="preserve">
1351.23-staff time
44.69-mileage reimburse
</t>
        </r>
      </text>
    </comment>
    <comment ref="D45" authorId="0" shapeId="0" xr:uid="{CE7940A8-8925-4B5B-BCCD-F56E8B904801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48.21
 interest
</t>
        </r>
      </text>
    </comment>
    <comment ref="E45" authorId="0" shapeId="0" xr:uid="{A41589CA-ECCF-41F3-B8CA-B5AB8CDA17EE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Rent 1000
42.28-Fuel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  <author>jerah</author>
  </authors>
  <commentList>
    <comment ref="D7" authorId="0" shapeId="0" xr:uid="{5CAB4EB8-CFF3-445A-826D-78541086DF72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84.96 interest
1524.00-MCIT member divident
</t>
        </r>
      </text>
    </comment>
    <comment ref="E7" authorId="0" shapeId="0" xr:uid="{403DAA2B-6D70-48F8-A76E-303A4036F701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1000-rent
4273.82-leave
-20374.71-overhead
2775.00-Peterson Audit</t>
        </r>
      </text>
    </comment>
    <comment ref="E10" authorId="0" shapeId="0" xr:uid="{06DA5685-791B-463B-98ED-EEF8D70AB1F4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2780.93-ML SWCD staff time
3044.07-TSA Staff Time
72-Water Testing-RMB</t>
        </r>
      </text>
    </comment>
    <comment ref="E22" authorId="1" shapeId="0" xr:uid="{6F514852-948C-45AE-8DF0-27B8B04BBE43}">
      <text>
        <r>
          <rPr>
            <b/>
            <sz val="9"/>
            <color indexed="81"/>
            <rFont val="Tahoma"/>
            <family val="2"/>
          </rPr>
          <t>jerah:</t>
        </r>
        <r>
          <rPr>
            <sz val="9"/>
            <color indexed="81"/>
            <rFont val="Tahoma"/>
            <family val="2"/>
          </rPr>
          <t xml:space="preserve">
674.30 moved to SCS20 1/28/22</t>
        </r>
      </text>
    </comment>
    <comment ref="D45" authorId="0" shapeId="0" xr:uid="{B820631D-CB01-45D6-BA21-29806541C751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 47.74 interest
</t>
        </r>
      </text>
    </comment>
    <comment ref="E45" authorId="0" shapeId="0" xr:uid="{D470D79F-21F7-4827-809B-F3097B3A41B8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Rent 1000
33.86-Fuel</t>
        </r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</authors>
  <commentList>
    <comment ref="D7" authorId="0" shapeId="0" xr:uid="{2936E839-1814-4CE7-A3CA-C3D71092085B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1500-TSA Admin 
</t>
        </r>
      </text>
    </comment>
    <comment ref="E7" authorId="0" shapeId="0" xr:uid="{2A287646-FD33-4579-A897-FC351B366921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1000-rent
10000-moved to dedicated project funds
2023.04-leave
220-Belkholm MASWCD Convention
-20885.78-overhead</t>
        </r>
      </text>
    </comment>
    <comment ref="E10" authorId="0" shapeId="0" xr:uid="{08E537FB-CAE7-4286-8991-91F30589DD23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2780.93-ML SWCD staff time
3044.07-TSA Staff Time
72-Water Testing-RMB</t>
        </r>
      </text>
    </comment>
    <comment ref="D47" authorId="0" shapeId="0" xr:uid="{C7D3604E-AE99-4363-AC8B-0244C6593834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49.34 interest
</t>
        </r>
      </text>
    </comment>
    <comment ref="E47" authorId="0" shapeId="0" xr:uid="{90D3B30A-5038-4AA5-AFEA-880CCD041756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Rent 1000
31.20-Fuel</t>
        </r>
      </text>
    </comment>
  </commentList>
</comments>
</file>

<file path=xl/comments2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  <author>jerah</author>
  </authors>
  <commentList>
    <comment ref="D7" authorId="0" shapeId="0" xr:uid="{6F9F708C-EA49-4AD9-B6DB-80FC23217986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114.15-interest
</t>
        </r>
      </text>
    </comment>
    <comment ref="E7" authorId="0" shapeId="0" xr:uid="{4A8C0B37-C416-4E83-B6F7-1046B0130F82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1000-rent
2873.76-leave
1730.96-supervisor expenses
25-mn soil health membership
300-area 111 dues
3000-Heitke pit closure
550-transfer fund to Hwy 65 </t>
        </r>
      </text>
    </comment>
    <comment ref="E10" authorId="0" shapeId="0" xr:uid="{CC6E7BA1-8892-4A96-8B9B-23C266354748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2780.93-ML SWCD staff time
3044.07-TSA Staff Time
72-Water Testing-RMB</t>
        </r>
      </text>
    </comment>
    <comment ref="E22" authorId="1" shapeId="0" xr:uid="{1A1EA262-9459-4194-90CC-AA88096322FA}">
      <text>
        <r>
          <rPr>
            <b/>
            <sz val="9"/>
            <color indexed="81"/>
            <rFont val="Tahoma"/>
            <family val="2"/>
          </rPr>
          <t>jerah:</t>
        </r>
        <r>
          <rPr>
            <sz val="9"/>
            <color indexed="81"/>
            <rFont val="Tahoma"/>
            <family val="2"/>
          </rPr>
          <t xml:space="preserve">
reconcile to zero balance</t>
        </r>
      </text>
    </comment>
    <comment ref="D47" authorId="0" shapeId="0" xr:uid="{E8F3CD18-AFA9-439A-B17A-199D32AF384D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49.83 interest
</t>
        </r>
      </text>
    </comment>
    <comment ref="E47" authorId="0" shapeId="0" xr:uid="{8B637375-9205-4819-A38E-44EB591CF5F2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Rent 1000
31.20-Fuel</t>
        </r>
      </text>
    </comment>
  </commentList>
</comments>
</file>

<file path=xl/comments2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  <author>jerah</author>
  </authors>
  <commentList>
    <comment ref="D7" authorId="0" shapeId="0" xr:uid="{29A8FD5A-B3CE-46CC-B56F-80C2D6DF3B7D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102.91-interest
 503.65 from WP Imp to zero 21 balance
4773.13 from WCA to zero 21 balance</t>
        </r>
      </text>
    </comment>
    <comment ref="E7" authorId="0" shapeId="0" xr:uid="{DC9EECB5-89F5-4350-BA24-B05B1FDC4E26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1000-rent
1148.99-leave
211.86 to trees to zero 21 balance</t>
        </r>
      </text>
    </comment>
    <comment ref="E10" authorId="0" shapeId="0" xr:uid="{323B8A72-5033-4686-AADD-64314BA0A143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2780.93-ML SWCD staff time
3044.07-TSA Staff Time
72-Water Testing-RMB</t>
        </r>
      </text>
    </comment>
    <comment ref="D12" authorId="1" shapeId="0" xr:uid="{FBBDB6B9-8B5F-4F82-8E5A-A29BAA0F16FF}">
      <text>
        <r>
          <rPr>
            <b/>
            <sz val="9"/>
            <color indexed="81"/>
            <rFont val="Tahoma"/>
            <family val="2"/>
          </rPr>
          <t>jerah:</t>
        </r>
        <r>
          <rPr>
            <sz val="9"/>
            <color indexed="81"/>
            <rFont val="Tahoma"/>
            <family val="2"/>
          </rPr>
          <t xml:space="preserve">
211.86 added to trees to zero 21 balance</t>
        </r>
      </text>
    </comment>
    <comment ref="E22" authorId="1" shapeId="0" xr:uid="{F41C4FD4-D127-43C3-8D13-0297709AAA14}">
      <text>
        <r>
          <rPr>
            <b/>
            <sz val="9"/>
            <color indexed="81"/>
            <rFont val="Tahoma"/>
            <family val="2"/>
          </rPr>
          <t>jerah:</t>
        </r>
        <r>
          <rPr>
            <sz val="9"/>
            <color indexed="81"/>
            <rFont val="Tahoma"/>
            <family val="2"/>
          </rPr>
          <t xml:space="preserve">
503.65 moved to DG to zero 21 balance</t>
        </r>
      </text>
    </comment>
    <comment ref="D47" authorId="0" shapeId="0" xr:uid="{9EFF7382-84C0-4CF8-A145-0055C92BB85B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44.58 interest
</t>
        </r>
      </text>
    </comment>
    <comment ref="E47" authorId="0" shapeId="0" xr:uid="{A0AE71B3-FBE4-4320-92C0-E4DA4150D0A1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Rent 1000
37.98-Fuel</t>
        </r>
      </text>
    </comment>
  </commentList>
</comments>
</file>

<file path=xl/comments2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</authors>
  <commentList>
    <comment ref="D7" authorId="0" shapeId="0" xr:uid="{86EB7D28-F66A-4476-93F7-8A47860B946D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102.91-interest
 503.65 from WP Imp to zero 21 balance
4773.13 from WCA to zero 21 balance</t>
        </r>
      </text>
    </comment>
    <comment ref="E7" authorId="0" shapeId="0" xr:uid="{E065622B-BE5C-4B87-A501-A695123ED97A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1000-rent
833.18-leave
</t>
        </r>
      </text>
    </comment>
    <comment ref="E10" authorId="0" shapeId="0" xr:uid="{F676279D-3BFA-485D-B7B9-AE76EE8D4F45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2780.93-ML SWCD staff time
3044.07-TSA Staff Time
72-Water Testing-RMB</t>
        </r>
      </text>
    </comment>
    <comment ref="D47" authorId="0" shapeId="0" xr:uid="{A44F7B82-E3DB-4F13-A1E6-5C6EAB2B117C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44.58 interest
</t>
        </r>
      </text>
    </comment>
    <comment ref="E47" authorId="0" shapeId="0" xr:uid="{50874B3C-D317-429E-B1BC-B29C6CE11DDB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Rent 1000
37.98-Fuel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</authors>
  <commentList>
    <comment ref="D7" authorId="0" shapeId="0" xr:uid="{59330298-D914-4B2B-A449-6ABAC0347F74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-234 District Land
</t>
        </r>
      </text>
    </comment>
    <comment ref="F7" authorId="0" shapeId="0" xr:uid="{7F3A5EDF-D4F0-40D1-B1BA-953F7B3BD2A8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1865.52 Leave
3116.64 Overhead</t>
        </r>
      </text>
    </comment>
    <comment ref="G41" authorId="0" shapeId="0" xr:uid="{FF573638-B455-4660-B028-51B4B924D7B5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 checks from Dec should have been Jan. 
201.03 &amp;173.19
</t>
        </r>
      </text>
    </comment>
    <comment ref="G43" authorId="0" shapeId="0" xr:uid="{E02A2D6D-38D2-4697-8433-E28E38E308F8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 rent check is uncleared
</t>
        </r>
      </text>
    </comment>
  </commentList>
</comments>
</file>

<file path=xl/comments3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  <author>jerah</author>
  </authors>
  <commentList>
    <comment ref="D7" authorId="0" shapeId="0" xr:uid="{5E689F8D-2CAE-4411-B955-4D0187A7A34B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102.91-interest
 503.65 from WP Imp to zero 21 balance
4773.13 from WCA to zero 21 balance</t>
        </r>
      </text>
    </comment>
    <comment ref="E7" authorId="0" shapeId="0" xr:uid="{1F8A0E56-6C95-43DB-A517-CB4EF788DA82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1000-rent
833.18-leave
</t>
        </r>
      </text>
    </comment>
    <comment ref="E10" authorId="0" shapeId="0" xr:uid="{D319F92B-CE79-44C5-B2F0-505C7C01D75A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2780.93-ML SWCD staff time
3044.07-TSA Staff Time
72-Water Testing-RMB</t>
        </r>
      </text>
    </comment>
    <comment ref="E35" authorId="1" shapeId="0" xr:uid="{A9F4248B-C6A0-43FA-872B-19862F98EFBA}">
      <text>
        <r>
          <rPr>
            <b/>
            <sz val="9"/>
            <color indexed="81"/>
            <rFont val="Tahoma"/>
            <family val="2"/>
          </rPr>
          <t>jerah:</t>
        </r>
        <r>
          <rPr>
            <sz val="9"/>
            <color indexed="81"/>
            <rFont val="Tahoma"/>
            <family val="2"/>
          </rPr>
          <t xml:space="preserve">
2844.28-unused 2019 funds sent back to BWSR
213.40-2020 staff time</t>
        </r>
      </text>
    </comment>
    <comment ref="D47" authorId="0" shapeId="0" xr:uid="{439EAB15-6FB7-40C6-A33D-58F8E941DB47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interest
</t>
        </r>
      </text>
    </comment>
    <comment ref="E47" authorId="0" shapeId="0" xr:uid="{220D27FF-222C-49C7-8319-13C2B23C668D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Rent 2000
</t>
        </r>
      </text>
    </comment>
  </commentList>
</comments>
</file>

<file path=xl/comments3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</authors>
  <commentList>
    <comment ref="D7" authorId="0" shapeId="0" xr:uid="{6DBCFA47-5A04-43F9-A1D2-8CC1437E319D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144.04-interest
 </t>
        </r>
      </text>
    </comment>
    <comment ref="E7" authorId="0" shapeId="0" xr:uid="{65BB2B07-3D88-49CD-9AD3-9D96FEDA9538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1000-rent
609.66-leave
</t>
        </r>
      </text>
    </comment>
    <comment ref="E10" authorId="0" shapeId="0" xr:uid="{F48DB113-7EA8-4ACD-AB06-B849C418DEEF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2780.93-ML SWCD staff time
3044.07-TSA Staff Time
72-Water Testing-RMB</t>
        </r>
      </text>
    </comment>
    <comment ref="D48" authorId="0" shapeId="0" xr:uid="{CB4AEC72-0040-4DB5-B363-2AD9D33845DF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interest
</t>
        </r>
      </text>
    </comment>
    <comment ref="E48" authorId="0" shapeId="0" xr:uid="{0BF82A12-0934-40E4-9996-3597D60536AF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Rent
9000 transferred to checking</t>
        </r>
      </text>
    </comment>
  </commentList>
</comments>
</file>

<file path=xl/comments3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</authors>
  <commentList>
    <comment ref="D7" authorId="0" shapeId="0" xr:uid="{3309D211-463B-46A7-969F-C7C9514BA5A1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144.04-interest
 900-S10 sale</t>
        </r>
      </text>
    </comment>
    <comment ref="E7" authorId="0" shapeId="0" xr:uid="{38712E60-DA88-4D13-BF5B-1EAA39328ED8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1000-rent
1599.59-leave
201.56-SP Misc. expenses
152.10-SP mileage reimburse
906 Journey repairs
1154.50-DP staff time
-9907.67
</t>
        </r>
      </text>
    </comment>
    <comment ref="E10" authorId="0" shapeId="0" xr:uid="{B01B35E1-F034-4876-8686-553BE418187F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2780.93-ML SWCD staff time
3044.07-TSA Staff Time
72-Water Testing-RMB</t>
        </r>
      </text>
    </comment>
    <comment ref="D48" authorId="0" shapeId="0" xr:uid="{C76810F8-7594-455E-8370-EED249D02FE9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interest
</t>
        </r>
      </text>
    </comment>
    <comment ref="E48" authorId="0" shapeId="0" xr:uid="{345288DC-5086-4C55-B227-D38436406FDE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 Rent
122.14-Gas</t>
        </r>
      </text>
    </comment>
  </commentList>
</comments>
</file>

<file path=xl/comments3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</authors>
  <commentList>
    <comment ref="D7" authorId="0" shapeId="0" xr:uid="{E3A08695-B03A-4944-A7F4-19C8278EE469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149.92-interest
1233.00-MCIT payroll audit WC return
</t>
        </r>
      </text>
    </comment>
    <comment ref="E7" authorId="0" shapeId="0" xr:uid="{2C734BD7-41C0-44A1-B652-F0E9E23D5E3E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1000-rent
1246.47-leave
24.33-JM Admin training dinner reimburse
98.05-mileage reimburse
2694.28-Supervisor Expenses
140.00-Peterson SAFES report prep
-10,369.25-overhead</t>
        </r>
      </text>
    </comment>
    <comment ref="E10" authorId="0" shapeId="0" xr:uid="{F9721059-233E-4569-8AF5-586723BBAC07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2780.93-ML SWCD staff time
3044.07-TSA Staff Time
72-Water Testing-RMB</t>
        </r>
      </text>
    </comment>
    <comment ref="D48" authorId="0" shapeId="0" xr:uid="{DE6E428E-9A03-4D20-B7A6-E641A78C8151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interest
</t>
        </r>
      </text>
    </comment>
    <comment ref="E48" authorId="0" shapeId="0" xr:uid="{06778486-626F-4B07-8077-3AFC1BB0EFA9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 Rent
122.14-Gas</t>
        </r>
      </text>
    </comment>
  </commentList>
</comments>
</file>

<file path=xl/comments3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  <author>jerah</author>
  </authors>
  <commentList>
    <comment ref="D7" authorId="0" shapeId="0" xr:uid="{F10DEB2F-A227-4D93-9954-438A4B07D977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156.50-interest
</t>
        </r>
      </text>
    </comment>
    <comment ref="E7" authorId="0" shapeId="0" xr:uid="{AC3576F0-0495-4051-8A4A-91646C57E1DF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1000-rent
1117.71-leave
165.00-area 111 mtg. palisade, Norma, Steph Jon
135.82-mileage reimburse
-10,369.25-overhead
363.75-DP staff time</t>
        </r>
      </text>
    </comment>
    <comment ref="E10" authorId="0" shapeId="0" xr:uid="{632EA9DB-D2E2-4577-8767-B81D35F27418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2780.93-ML SWCD staff time
3044.07-TSA Staff Time
72-Water Testing-RMB</t>
        </r>
      </text>
    </comment>
    <comment ref="E32" authorId="1" shapeId="0" xr:uid="{8BCF0012-A688-4997-986C-2CCA792F297F}">
      <text>
        <r>
          <rPr>
            <b/>
            <sz val="9"/>
            <color indexed="81"/>
            <rFont val="Tahoma"/>
            <family val="2"/>
          </rPr>
          <t>jerah:</t>
        </r>
        <r>
          <rPr>
            <sz val="9"/>
            <color indexed="81"/>
            <rFont val="Tahoma"/>
            <family val="2"/>
          </rPr>
          <t xml:space="preserve">
879.40-Mikke &amp; Jeff Schafer
28.32+29.80-Fair pollinator basket raffle</t>
        </r>
      </text>
    </comment>
    <comment ref="D48" authorId="0" shapeId="0" xr:uid="{713AA14D-0187-4F27-9F6F-82A2227CC26F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interest
</t>
        </r>
      </text>
    </comment>
    <comment ref="E48" authorId="0" shapeId="0" xr:uid="{D94CC8DC-D7A3-4582-9A6F-1C8E01548FD2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 Rent
100.74-Gas</t>
        </r>
      </text>
    </comment>
  </commentList>
</comments>
</file>

<file path=xl/comments3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</authors>
  <commentList>
    <comment ref="D7" authorId="0" shapeId="0" xr:uid="{4A2CCDB9-214D-40F5-83DF-EFD77F713B7D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165.16-interest
</t>
        </r>
      </text>
    </comment>
    <comment ref="E7" authorId="0" shapeId="0" xr:uid="{08CB1D81-9053-4B82-8933-CAA1D542A382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1000-rent
1649.67-leave
335.38-mileage reimburse
-9897.31 overhead
523.89-SP training lodging/meals
1518.24-DP Staff time </t>
        </r>
      </text>
    </comment>
    <comment ref="E10" authorId="0" shapeId="0" xr:uid="{EA3F55A2-DB68-40F5-9488-D087CE1912EA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2780.93-ML SWCD staff time
3044.07-TSA Staff Time
72-Water Testing-RMB</t>
        </r>
      </text>
    </comment>
    <comment ref="D49" authorId="0" shapeId="0" xr:uid="{93C5210E-60ED-4EC8-B679-9B85EBB5852E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interest
</t>
        </r>
      </text>
    </comment>
    <comment ref="E49" authorId="0" shapeId="0" xr:uid="{C29CB1E0-6E58-4912-ACC3-472178E9E324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 Rent
93.60-Fuel</t>
        </r>
      </text>
    </comment>
  </commentList>
</comments>
</file>

<file path=xl/comments3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</authors>
  <commentList>
    <comment ref="D7" authorId="0" shapeId="0" xr:uid="{ECC579CE-855C-4710-83E3-5EABD4C5BE10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165.16-interest
</t>
        </r>
      </text>
    </comment>
    <comment ref="E7" authorId="0" shapeId="0" xr:uid="{F842AD9A-8B00-40A0-A5B5-6BA0575F5DAC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1000-rent
800.28-leave
-13585.92 overhead
2330.63-Supervisor Expense</t>
        </r>
      </text>
    </comment>
    <comment ref="E10" authorId="0" shapeId="0" xr:uid="{F1DC0FAA-0DC8-4651-8C98-FF507464E8FE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2780.93-ML SWCD staff time
3044.07-TSA Staff Time
72-Water Testing-RMB</t>
        </r>
      </text>
    </comment>
    <comment ref="D49" authorId="0" shapeId="0" xr:uid="{D8EE261B-73C5-4C33-85E4-E5D8BDE53BB3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interest 123.30
</t>
        </r>
      </text>
    </comment>
    <comment ref="E49" authorId="0" shapeId="0" xr:uid="{381FAB45-A18E-49C0-A93D-A146F2B1AF02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 Rent
76.93</t>
        </r>
      </text>
    </comment>
  </commentList>
</comments>
</file>

<file path=xl/comments3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</authors>
  <commentList>
    <comment ref="D7" authorId="0" shapeId="0" xr:uid="{821FC435-9AA2-47FB-9FB8-F32783E72480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185.04-interest
910-MCIT Member Dividend
1500-TSA Area 3 Admin FY22
</t>
        </r>
      </text>
    </comment>
    <comment ref="E7" authorId="0" shapeId="0" xr:uid="{357A387E-48DB-4879-BFDD-B6807E74719D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1000-rent
4708.94-leave
-15827.77 overhead
1343.19-BWSR Academy (3 staff) DP MASWCD convention</t>
        </r>
      </text>
    </comment>
    <comment ref="E10" authorId="0" shapeId="0" xr:uid="{6CB0478F-A73D-4768-8B24-AA7DB3FE8686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2780.93-ML SWCD staff time
3044.07-TSA Staff Time
72-Water Testing-RMB</t>
        </r>
      </text>
    </comment>
    <comment ref="D49" authorId="0" shapeId="0" xr:uid="{4574BC55-1F32-4674-BAAD-A9CC569D491A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interest 128.60
</t>
        </r>
      </text>
    </comment>
    <comment ref="E49" authorId="0" shapeId="0" xr:uid="{BA6722CF-F7A3-46B8-BA6F-ECFC7BEC7F89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 Rent
39.69-Gas
</t>
        </r>
      </text>
    </comment>
  </commentList>
</comments>
</file>

<file path=xl/comments3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</authors>
  <commentList>
    <comment ref="D7" authorId="0" shapeId="0" xr:uid="{035DEBD3-830E-4C30-984D-4AF3B13862F9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213.95-interest
24000-pokegama lake association-2k newsletter, remaining to no-till drill/ann lake treatment</t>
        </r>
      </text>
    </comment>
    <comment ref="E7" authorId="0" shapeId="0" xr:uid="{EA16A8BC-BA27-44A3-A1E2-EC142838809F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1000-rent
1885.17-leave
-7161.59 overhead
521.90-DP staff time</t>
        </r>
      </text>
    </comment>
    <comment ref="E10" authorId="0" shapeId="0" xr:uid="{DFA5A638-52FA-4ED9-B4C5-9830B41A4A45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2780.93-ML SWCD staff time
3044.07-TSA Staff Time
72-Water Testing-RMB</t>
        </r>
      </text>
    </comment>
    <comment ref="D49" authorId="0" shapeId="0" xr:uid="{7AB7C81E-E58A-4BA4-92BA-5C9BBCFADDCA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interest 160.88
</t>
        </r>
      </text>
    </comment>
    <comment ref="E49" authorId="0" shapeId="0" xr:uid="{11994680-A256-4CCA-AB0A-43E04EB26AF4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 Rent
27.79-Gas
</t>
        </r>
      </text>
    </comment>
  </commentList>
</comments>
</file>

<file path=xl/comments3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</authors>
  <commentList>
    <comment ref="D7" authorId="0" shapeId="0" xr:uid="{FD659E73-7A86-4710-9969-D6D6FB6AAE08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241.15-interest
</t>
        </r>
      </text>
    </comment>
    <comment ref="E7" authorId="0" shapeId="0" xr:uid="{80C46604-3CE5-4A6D-888E-63E11434BE6A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1000-rent
3891.13-leave
-7161.59 overhead
73.64-DP staff time
5186-MCIT
5636.80-2023 dues</t>
        </r>
      </text>
    </comment>
    <comment ref="E10" authorId="0" shapeId="0" xr:uid="{B535A376-E85C-40B4-A139-478ADA7D9C07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2780.93-ML SWCD staff time
3044.07-TSA Staff Time
72-Water Testing-RMB</t>
        </r>
      </text>
    </comment>
    <comment ref="D49" authorId="0" shapeId="0" xr:uid="{6228F186-889D-4560-A302-99E7E53873D8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interest 186.29
</t>
        </r>
      </text>
    </comment>
    <comment ref="E49" authorId="0" shapeId="0" xr:uid="{A9B4BE25-5861-4921-A8DD-2F851BCD6EBB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 Rent
27.79-Gas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</authors>
  <commentList>
    <comment ref="F7" authorId="0" shapeId="0" xr:uid="{84B54622-BB4D-45B7-9A1D-3108B4AB70F9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2398.06 Leave
2127.91 staff time
-22133.22 Overhead
</t>
        </r>
      </text>
    </comment>
    <comment ref="D41" authorId="0" shapeId="0" xr:uid="{9CBAC270-7221-44F1-94D9-D615B3963A64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Started balance without 2 dec. checks 374.22
</t>
        </r>
      </text>
    </comment>
    <comment ref="G43" authorId="0" shapeId="0" xr:uid="{9B9831FD-8146-420D-809A-DD0AA5381FAE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 rent check is uncleared
</t>
        </r>
      </text>
    </comment>
  </commentList>
</comments>
</file>

<file path=xl/comments4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</authors>
  <commentList>
    <comment ref="D7" authorId="0" shapeId="0" xr:uid="{B12D53FF-4310-45FC-A8B2-AED1F71E082E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241.15-interest
</t>
        </r>
      </text>
    </comment>
    <comment ref="E7" authorId="0" shapeId="0" xr:uid="{25D9ACCC-2D99-4C58-B2F6-479D8EFB050B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1000-rent
1578.00-leave
-7161.59 overhead
7834.36-zero county allocation 2022
248-MN State audit fee
1451.29-zero out WPI 22'
</t>
        </r>
      </text>
    </comment>
    <comment ref="E10" authorId="0" shapeId="0" xr:uid="{B620A749-32CE-4DF6-8668-1994B89AC71E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2780.93-ML SWCD staff time
3044.07-TSA Staff Time
72-Water Testing-RMB</t>
        </r>
      </text>
    </comment>
    <comment ref="D49" authorId="0" shapeId="0" xr:uid="{F3A903B2-EADD-41C3-BB03-2B6594845E1E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interest 185.16
</t>
        </r>
      </text>
    </comment>
    <comment ref="E49" authorId="0" shapeId="0" xr:uid="{8E2814F7-C549-48B7-9014-E7A670618087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 Rent
27.79-Gas
</t>
        </r>
      </text>
    </comment>
  </commentList>
</comments>
</file>

<file path=xl/comments4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</authors>
  <commentList>
    <comment ref="D7" authorId="0" shapeId="0" xr:uid="{835713A5-D2AE-4312-9AC4-3288B9B51C70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interest
</t>
        </r>
      </text>
    </comment>
    <comment ref="E7" authorId="0" shapeId="0" xr:uid="{7544CD85-43D8-4D61-A68A-CB03705ED1B3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1000-rent
1578.00-leave
-7161.59 overhead
250-envirothon donation
60-DP Wetland training-4/20/23
110-dues (N St. Louis and Wild Rivers Conservancy)</t>
        </r>
      </text>
    </comment>
    <comment ref="E10" authorId="0" shapeId="0" xr:uid="{6E37DBF3-E132-4FB5-87E2-AE6A97945122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2780.93-ML SWCD staff time
3044.07-TSA Staff Time
72-Water Testing-RMB</t>
        </r>
      </text>
    </comment>
    <comment ref="D50" authorId="0" shapeId="0" xr:uid="{B0FBE47D-AAE8-4F6B-A332-938953E24600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interest 
</t>
        </r>
      </text>
    </comment>
    <comment ref="E50" authorId="0" shapeId="0" xr:uid="{F0E0234B-7B66-4E39-B453-BE433054D47C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 Rent
37.90-Gas
</t>
        </r>
      </text>
    </comment>
  </commentList>
</comments>
</file>

<file path=xl/comments4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</authors>
  <commentList>
    <comment ref="D7" authorId="0" shapeId="0" xr:uid="{5AE3A00F-F1DC-424A-BCFA-C37471334B07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interest
</t>
        </r>
      </text>
    </comment>
    <comment ref="E7" authorId="0" shapeId="0" xr:uid="{0E94FD80-D94A-4875-ABDB-B6379C3B582A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1000-rent
2146.49 leave
-7161.59 overhead
3825.01-supervisor perdiem
</t>
        </r>
      </text>
    </comment>
    <comment ref="E10" authorId="0" shapeId="0" xr:uid="{69B820E3-B6CA-41C0-8F60-BE8E9CE66A55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2780.93-ML SWCD staff time
3044.07-TSA Staff Time
72-Water Testing-RMB</t>
        </r>
      </text>
    </comment>
    <comment ref="D50" authorId="0" shapeId="0" xr:uid="{3E7C6D68-C3E9-40E6-A5CD-C37001492E85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interest 
</t>
        </r>
      </text>
    </comment>
    <comment ref="E50" authorId="0" shapeId="0" xr:uid="{F63DD9C4-C65F-4EBB-B7AB-473FCAC04679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 Rent
</t>
        </r>
      </text>
    </comment>
  </commentList>
</comments>
</file>

<file path=xl/comments4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</authors>
  <commentList>
    <comment ref="D7" authorId="0" shapeId="0" xr:uid="{B6BB61FF-CE64-4891-8AB1-EDA7E6A7E571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interest
196-no-till drill rental
</t>
        </r>
      </text>
    </comment>
    <comment ref="E7" authorId="0" shapeId="0" xr:uid="{1AC6B7BA-6FFD-4FB5-93F1-EB4B01220F80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1000-rent
2531.38 leave
-7161.59 overhead
59.05-NT Drill flashing lights
60.00-NH/JS Area 3 meeting 6/9/23
635.42-Newsletter postage
</t>
        </r>
      </text>
    </comment>
    <comment ref="E10" authorId="0" shapeId="0" xr:uid="{A67C6174-E1AD-4984-A7FB-E4E2C1BAFA4F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2780.93-ML SWCD staff time
3044.07-TSA Staff Time
72-Water Testing-RMB</t>
        </r>
      </text>
    </comment>
    <comment ref="D50" authorId="0" shapeId="0" xr:uid="{D8158655-FBEC-4270-BE74-4FF03232A554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interest 
</t>
        </r>
      </text>
    </comment>
    <comment ref="E50" authorId="0" shapeId="0" xr:uid="{75A8C05E-8977-4673-BFE1-A51FC0F357FA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 Rent
</t>
        </r>
      </text>
    </comment>
  </commentList>
</comments>
</file>

<file path=xl/comments4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</authors>
  <commentList>
    <comment ref="D7" authorId="0" shapeId="0" xr:uid="{28B51416-285B-444C-A6F3-64CE2283F3EB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425.09 interest
551-MCIT member dividend
5151-no till drill
</t>
        </r>
      </text>
    </comment>
    <comment ref="E7" authorId="0" shapeId="0" xr:uid="{5B824A31-95C9-4C1E-8EE7-03033861CD85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1000-rent
2449.04 leave
- overhead
6049 moved to Ann Lake Treatment 
71.42-feeder cups-pine swcd
5800-DP leadership training
3600-new copier
1169.32-qb annual renewal
607.71-newsletter postage
802.62-no till drill
</t>
        </r>
      </text>
    </comment>
    <comment ref="E10" authorId="0" shapeId="0" xr:uid="{D8BE6E68-C703-463D-BA06-C6167ABD2EBC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2780.93-ML SWCD staff time
3044.07-TSA Staff Time
72-Water Testing-RMB</t>
        </r>
      </text>
    </comment>
    <comment ref="D51" authorId="0" shapeId="0" xr:uid="{470283A4-401A-4C6A-A825-68A0CE2615D0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interest 
</t>
        </r>
      </text>
    </comment>
    <comment ref="E51" authorId="0" shapeId="0" xr:uid="{5CEEE7E0-5617-454B-981F-D4B78BAF35A7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 Rent
</t>
        </r>
      </text>
    </comment>
  </commentList>
</comments>
</file>

<file path=xl/comments4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  <author>jerah</author>
  </authors>
  <commentList>
    <comment ref="D7" authorId="0" shapeId="0" xr:uid="{19FBEC1F-9530-4483-9881-7D1A4AB25211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427.04 interest
1761.20-no till drill
</t>
        </r>
      </text>
    </comment>
    <comment ref="E7" authorId="0" shapeId="0" xr:uid="{BBDA7AC2-B7F1-4B0C-914E-F100F686DC8A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1000-rent
 2897.06 leave
-9747.75 overhead
1250.00-newsletter
374.89-no till drill
4769.54-supervisor expenses</t>
        </r>
      </text>
    </comment>
    <comment ref="E10" authorId="0" shapeId="0" xr:uid="{21FEB56A-686A-4BA5-A476-4AC154F19CD6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2780.93-ML SWCD staff time
3044.07-TSA Staff Time
72-Water Testing-RMB</t>
        </r>
      </text>
    </comment>
    <comment ref="E13" authorId="1" shapeId="0" xr:uid="{0352EF97-F8D9-413D-9E13-717FA19AA6DC}">
      <text>
        <r>
          <rPr>
            <b/>
            <sz val="9"/>
            <color indexed="81"/>
            <rFont val="Tahoma"/>
            <family val="2"/>
          </rPr>
          <t>jerah:</t>
        </r>
        <r>
          <rPr>
            <sz val="9"/>
            <color indexed="81"/>
            <rFont val="Tahoma"/>
            <family val="2"/>
          </rPr>
          <t xml:space="preserve">
payment made in april '23 and July '23</t>
        </r>
      </text>
    </comment>
    <comment ref="D52" authorId="0" shapeId="0" xr:uid="{97802E0D-FB10-46E2-A51D-805332B7E32B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interest 
</t>
        </r>
      </text>
    </comment>
    <comment ref="E52" authorId="0" shapeId="0" xr:uid="{A0D7DA57-8489-4B70-8795-F7DA7A31BCD2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 Rent
</t>
        </r>
      </text>
    </comment>
  </commentList>
</comments>
</file>

<file path=xl/comments4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  <author>jerah</author>
  </authors>
  <commentList>
    <comment ref="D7" authorId="0" shapeId="0" xr:uid="{CFAFDF7B-8CF0-418A-BF36-9759ADB0B561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523.77 interest
1134-no till drill
1500-TSA Admin dues</t>
        </r>
      </text>
    </comment>
    <comment ref="E7" authorId="0" shapeId="0" xr:uid="{BE6FE600-D9E2-48B0-9AA5-ED416085F06E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1000-rent
 2154.64 leave
- overhead
114.75-drill staff time
52.08-no till drill misc supplies
3322.90-forester staff time (Pine SWCD)
55-tech job posting</t>
        </r>
      </text>
    </comment>
    <comment ref="E10" authorId="0" shapeId="0" xr:uid="{F947225D-F6CB-46D0-9EDB-28DDB35239A4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2780.93-ML SWCD staff time
3044.07-TSA Staff Time
72-Water Testing-RMB</t>
        </r>
      </text>
    </comment>
    <comment ref="E13" authorId="1" shapeId="0" xr:uid="{53FC61C2-C300-4800-88B3-AAFD91BD9E4F}">
      <text>
        <r>
          <rPr>
            <b/>
            <sz val="9"/>
            <color indexed="81"/>
            <rFont val="Tahoma"/>
            <family val="2"/>
          </rPr>
          <t>jerah:</t>
        </r>
        <r>
          <rPr>
            <sz val="9"/>
            <color indexed="81"/>
            <rFont val="Tahoma"/>
            <family val="2"/>
          </rPr>
          <t xml:space="preserve">
payment made in april '23 and July '23</t>
        </r>
      </text>
    </comment>
    <comment ref="D52" authorId="0" shapeId="0" xr:uid="{1EFC49B7-4E75-46DA-8A57-30E16527EBCB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interest 
</t>
        </r>
      </text>
    </comment>
    <comment ref="E52" authorId="0" shapeId="0" xr:uid="{155BD35B-8AA4-407D-AEB6-5A5A357C906C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 Rent
47.92-gas</t>
        </r>
      </text>
    </comment>
  </commentList>
</comments>
</file>

<file path=xl/comments4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  <author>jerah</author>
  </authors>
  <commentList>
    <comment ref="D7" authorId="0" shapeId="0" xr:uid="{0903261A-88F9-464D-A232-03B7E8A1C3D6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479.92 interest
2361.37-no till drill
</t>
        </r>
      </text>
    </comment>
    <comment ref="E7" authorId="0" shapeId="0" xr:uid="{3DA5AD7B-6C9F-42EC-8668-85AFBAF7699D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1000-rent
856.73 leave
-245.24 overhead
85.91-drill staff time
1.22-drill bolts
5000-Nelson Project
69-area 111 annual meeting
452.50-JM BWSR Academy</t>
        </r>
      </text>
    </comment>
    <comment ref="E10" authorId="0" shapeId="0" xr:uid="{70C18756-9A64-4452-9B75-7151890A86C4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2780.93-ML SWCD staff time
3044.07-TSA Staff Time
72-Water Testing-RMB</t>
        </r>
      </text>
    </comment>
    <comment ref="E13" authorId="1" shapeId="0" xr:uid="{59AAAC51-6FE9-4576-9C06-1DAC461B5299}">
      <text>
        <r>
          <rPr>
            <b/>
            <sz val="9"/>
            <color indexed="81"/>
            <rFont val="Tahoma"/>
            <family val="2"/>
          </rPr>
          <t>jerah:</t>
        </r>
        <r>
          <rPr>
            <sz val="9"/>
            <color indexed="81"/>
            <rFont val="Tahoma"/>
            <family val="2"/>
          </rPr>
          <t xml:space="preserve">
payment made in april '23 and July '23</t>
        </r>
      </text>
    </comment>
    <comment ref="D52" authorId="0" shapeId="0" xr:uid="{8F98B331-FCF8-4340-84B8-577673D7DD42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interest 
</t>
        </r>
      </text>
    </comment>
    <comment ref="E52" authorId="0" shapeId="0" xr:uid="{C56FCABC-F72D-4800-9F11-BA6509F806B8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 Rent
47.92-gas</t>
        </r>
      </text>
    </comment>
  </commentList>
</comments>
</file>

<file path=xl/comments4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</authors>
  <commentList>
    <comment ref="D7" authorId="0" shapeId="0" xr:uid="{D996EC70-B984-4A58-8D21-A6D4659F3A5B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527.42 interest
810.60-no till drill
</t>
        </r>
      </text>
    </comment>
    <comment ref="E7" authorId="0" shapeId="0" xr:uid="{D2F46DF9-F955-4615-B20F-8F4062FE4F91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1000-rent
784.63 leave
- overhead
184.09-drill staff time
3694.08-shared forester
116.86-JM BWSR mileage
36.96-JM BWSR meals
2875.34-supervisor expenses</t>
        </r>
      </text>
    </comment>
    <comment ref="E10" authorId="0" shapeId="0" xr:uid="{EF5DE4DA-2C1A-41BA-9C9F-72D799846EF2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2780.93-ML SWCD staff time
3044.07-TSA Staff Time
72-Water Testing-RMB</t>
        </r>
      </text>
    </comment>
    <comment ref="D52" authorId="0" shapeId="0" xr:uid="{CFC8E216-8032-4EF7-96FD-201BB14C9CB6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interest 
</t>
        </r>
      </text>
    </comment>
    <comment ref="E52" authorId="0" shapeId="0" xr:uid="{51FDBFB6-2F9C-4BFC-9DBD-8DBE5584242E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 Rent
47.92-gas</t>
        </r>
      </text>
    </comment>
  </commentList>
</comments>
</file>

<file path=xl/comments4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  <author>jerah</author>
  </authors>
  <commentList>
    <comment ref="D7" authorId="0" shapeId="0" xr:uid="{A69C2CF5-F88E-4599-B34B-335B8B228878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553.20 interest
518-MCIT WC member dividend
18405-no till drill
</t>
        </r>
      </text>
    </comment>
    <comment ref="E7" authorId="0" shapeId="0" xr:uid="{8DBBD54C-940F-4B66-8641-6837C475B300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1000-rent
3466.72 leave
- overhead
411.02-drill staff time
2875.34-supervisor expenses
32.22-drill</t>
        </r>
      </text>
    </comment>
    <comment ref="E10" authorId="0" shapeId="0" xr:uid="{864E8090-5AA0-4CE2-BB35-8BEA76C60A5D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2780.93-ML SWCD staff time
3044.07-TSA Staff Time
72-Water Testing-RMB</t>
        </r>
      </text>
    </comment>
    <comment ref="E35" authorId="1" shapeId="0" xr:uid="{37DCF492-B57E-4E01-BCA9-F6BA69C36782}">
      <text>
        <r>
          <rPr>
            <b/>
            <sz val="9"/>
            <color indexed="81"/>
            <rFont val="Tahoma"/>
            <family val="2"/>
          </rPr>
          <t>jerah:</t>
        </r>
        <r>
          <rPr>
            <sz val="9"/>
            <color indexed="81"/>
            <rFont val="Tahoma"/>
            <family val="2"/>
          </rPr>
          <t xml:space="preserve">
800-Denise Kadlek well seal
</t>
        </r>
      </text>
    </comment>
    <comment ref="D52" authorId="0" shapeId="0" xr:uid="{FEC48124-FC5B-4A0C-A333-CCA5F4AC3AD6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interest 280.35
</t>
        </r>
      </text>
    </comment>
    <comment ref="E52" authorId="0" shapeId="0" xr:uid="{5C239675-8CBB-4839-9CF0-84AC5484C654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 Rent
54.73-gas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</authors>
  <commentList>
    <comment ref="F7" authorId="0" shapeId="0" xr:uid="{3BC86839-8563-4D7F-872E-B5CAE8968D80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800 Leave
1357.79 staff time
-6631.31 overhead
</t>
        </r>
      </text>
    </comment>
    <comment ref="E42" authorId="0" shapeId="0" xr:uid="{5E8183A4-FA0A-492D-A2A0-98FC891CEDA7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851.44 uncleared
9681.24 cleared
</t>
        </r>
      </text>
    </comment>
  </commentList>
</comments>
</file>

<file path=xl/comments5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  <author>jerah</author>
  </authors>
  <commentList>
    <comment ref="D7" authorId="0" shapeId="0" xr:uid="{D2913137-7497-4652-AB4B-079C8218552B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522.81 interest
1559.46-newsletter income from grant expenses
</t>
        </r>
      </text>
    </comment>
    <comment ref="E7" authorId="0" shapeId="0" xr:uid="{391F3E46-E415-4B9C-A000-99C1EA15E3DE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1000-rent
394.99 leave
- overhead
125.92-Belkholm hotel-MASWCD convention
3224.07-Technician computer
9027.30 moved to Snake River WS to end 2023
1270.86 transfer to zero AgBMP-start 2024 with zero balance
1520.51-moved from Con Del.
</t>
        </r>
      </text>
    </comment>
    <comment ref="D8" authorId="1" shapeId="0" xr:uid="{8FF8FC7C-0B98-4E33-ABCF-CD77E4702B47}">
      <text>
        <r>
          <rPr>
            <b/>
            <sz val="9"/>
            <color indexed="81"/>
            <rFont val="Tahoma"/>
            <family val="2"/>
          </rPr>
          <t>jerah:</t>
        </r>
        <r>
          <rPr>
            <sz val="9"/>
            <color indexed="81"/>
            <rFont val="Tahoma"/>
            <family val="2"/>
          </rPr>
          <t xml:space="preserve">
moved from Dist Gen to end 2023
</t>
        </r>
      </text>
    </comment>
    <comment ref="E10" authorId="0" shapeId="0" xr:uid="{703460C8-82D2-4B87-92D9-F33F6923A7B3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2780.93-ML SWCD staff time
3044.07-TSA Staff Time
72-Water Testing-RMB</t>
        </r>
      </text>
    </comment>
    <comment ref="E41" authorId="1" shapeId="0" xr:uid="{735ECA78-792C-43B6-8732-12E316CE12B8}">
      <text>
        <r>
          <rPr>
            <b/>
            <sz val="9"/>
            <color indexed="81"/>
            <rFont val="Tahoma"/>
            <family val="2"/>
          </rPr>
          <t>jerah:</t>
        </r>
        <r>
          <rPr>
            <sz val="9"/>
            <color indexed="81"/>
            <rFont val="Tahoma"/>
            <family val="2"/>
          </rPr>
          <t xml:space="preserve">
moved 33.026 hours from dist gen to L2L to match DP neg 23 amount 4/2/24</t>
        </r>
      </text>
    </comment>
    <comment ref="D53" authorId="0" shapeId="0" xr:uid="{11473762-BD80-4DFA-9044-AD6F99672022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interest 287.98
</t>
        </r>
      </text>
    </comment>
    <comment ref="E53" authorId="0" shapeId="0" xr:uid="{52B7F3CD-571E-4F42-9968-B589BA8CED9C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 Rent
54.73-gas</t>
        </r>
      </text>
    </comment>
  </commentList>
</comments>
</file>

<file path=xl/comments5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  <author>jerah</author>
  </authors>
  <commentList>
    <comment ref="D7" authorId="0" shapeId="0" xr:uid="{CD6CFDF0-32E9-4407-A430-B8425A7B8821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385.75
 interest
2045-final 10% of drill grant
</t>
        </r>
      </text>
    </comment>
    <comment ref="E7" authorId="0" shapeId="0" xr:uid="{B26660B7-DCBF-425F-955A-02D6836201A3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1000-rent
4444.39 leave
- overhead
21,124.73-moved from Con Del to dist gen
283.20-JM staff time
7402.95-2024 dues
</t>
        </r>
      </text>
    </comment>
    <comment ref="E10" authorId="0" shapeId="0" xr:uid="{864080DF-6F59-491D-85F3-31A69B7FC576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2780.93-ML SWCD staff time
3044.07-TSA Staff Time
72-Water Testing-RMB</t>
        </r>
      </text>
    </comment>
    <comment ref="E35" authorId="1" shapeId="0" xr:uid="{6A3C8AB0-35B2-4E32-830E-3819426D1E03}">
      <text>
        <r>
          <rPr>
            <b/>
            <sz val="9"/>
            <color indexed="81"/>
            <rFont val="Tahoma"/>
            <family val="2"/>
          </rPr>
          <t>jerah:</t>
        </r>
        <r>
          <rPr>
            <sz val="9"/>
            <color indexed="81"/>
            <rFont val="Tahoma"/>
            <family val="2"/>
          </rPr>
          <t xml:space="preserve">
Pleasurewoods Farms-Pipeline
</t>
        </r>
      </text>
    </comment>
    <comment ref="D53" authorId="0" shapeId="0" xr:uid="{7CDB9BDE-F375-4F41-9B70-7932F4598EBA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interest 287.98
</t>
        </r>
      </text>
    </comment>
    <comment ref="E53" authorId="0" shapeId="0" xr:uid="{EC623A6C-FF2F-41E4-96E6-C4EBD06CEFC7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 Rent
54.73-gas</t>
        </r>
      </text>
    </comment>
  </commentList>
</comments>
</file>

<file path=xl/comments5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  <author>jerah</author>
  </authors>
  <commentList>
    <comment ref="D7" authorId="0" shapeId="0" xr:uid="{89C657BE-D4A6-4138-96DA-FA657E0AFF43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385.75
 interest
2045-final 10% of drill grant
</t>
        </r>
      </text>
    </comment>
    <comment ref="E7" authorId="0" shapeId="0" xr:uid="{9217D84D-46F5-4A36-B3D8-C55563740586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1000-rent
944.89 leave
- overhead
5000 funds transfer to HWY 65 project
113.28-JM Staff Time
203.30-JT Staff Time (LCCMR) Rum Match
2719.19-Watershed Coord. Computer
265-Forestry Dues
</t>
        </r>
      </text>
    </comment>
    <comment ref="E10" authorId="0" shapeId="0" xr:uid="{DC854387-C8F7-4495-BE93-1014BF700F36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2780.93-ML SWCD staff time
3044.07-TSA Staff Time
72-Water Testing-RMB</t>
        </r>
      </text>
    </comment>
    <comment ref="E35" authorId="1" shapeId="0" xr:uid="{42C115C3-C8A4-4688-BFF2-79C7A2DBEBF7}">
      <text>
        <r>
          <rPr>
            <b/>
            <sz val="9"/>
            <color indexed="81"/>
            <rFont val="Tahoma"/>
            <family val="2"/>
          </rPr>
          <t>jerah:</t>
        </r>
        <r>
          <rPr>
            <sz val="9"/>
            <color indexed="81"/>
            <rFont val="Tahoma"/>
            <family val="2"/>
          </rPr>
          <t xml:space="preserve">
Pleasurewoods Farms-Pipeline
</t>
        </r>
      </text>
    </comment>
    <comment ref="D53" authorId="0" shapeId="0" xr:uid="{DE21065A-36AC-4C80-A717-007D2BCC94C6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interest 287.98
</t>
        </r>
      </text>
    </comment>
    <comment ref="E53" authorId="0" shapeId="0" xr:uid="{E3FD8316-F4CB-4100-80AE-C2F023BE72F5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 Rent
54.73-gas</t>
        </r>
      </text>
    </comment>
  </commentList>
</comments>
</file>

<file path=xl/comments5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</authors>
  <commentList>
    <comment ref="D7" authorId="0" shapeId="0" xr:uid="{69DCF92B-4214-4AC1-80C4-C9C76510A3FA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364.99 interest
2000-SNAKE WBIF-Pokegama
</t>
        </r>
      </text>
    </comment>
    <comment ref="E7" authorId="0" shapeId="0" xr:uid="{81681779-E7E0-4024-B87F-2A9BE37776A2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1375-rent
1946.27 leave
- overhead
4427.36-JM Staff Time
</t>
        </r>
      </text>
    </comment>
    <comment ref="E10" authorId="0" shapeId="0" xr:uid="{63B08F59-A07B-488D-BCA3-17C6DF13A2EA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2780.93-ML SWCD staff time
3044.07-TSA Staff Time
72-Water Testing-RMB</t>
        </r>
      </text>
    </comment>
    <comment ref="D53" authorId="0" shapeId="0" xr:uid="{3DC6530E-47C1-4FB1-935D-518F0A1325A0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interest 285.81
</t>
        </r>
      </text>
    </comment>
    <comment ref="E53" authorId="0" shapeId="0" xr:uid="{9962EEA0-A944-4436-922F-A0D7A19BB7FB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1000 Rent
87.41-gas</t>
        </r>
      </text>
    </comment>
  </commentList>
</comments>
</file>

<file path=xl/comments5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</authors>
  <commentList>
    <comment ref="D7" authorId="0" shapeId="0" xr:uid="{2D29A7A0-E146-4F39-A820-301BBF5784B0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347.79 interest
2000-SNAKE WBIF-Pokegama
289.80-drill rental
</t>
        </r>
      </text>
    </comment>
    <comment ref="E7" authorId="0" shapeId="0" xr:uid="{D4B5DDF5-1D1B-46AE-B680-F3EC74F30F16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1375-rent
1396.42 leave
- overhead
4427.36-Staff Time
4938.35-Sup Q1 2024 perdiem
17.86-drill wing nut and lube
-14763.56 overhead
</t>
        </r>
      </text>
    </comment>
    <comment ref="E10" authorId="0" shapeId="0" xr:uid="{554DDF6F-25C5-442D-BC21-B6F3962E2F8B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2780.93-ML SWCD staff time
3044.07-TSA Staff Time
72-Water Testing-RMB</t>
        </r>
      </text>
    </comment>
    <comment ref="D53" authorId="0" shapeId="0" xr:uid="{FAD7F1DD-52E1-4623-A202-B75C1CFAE8A7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interest 285.81
</t>
        </r>
      </text>
    </comment>
    <comment ref="E53" authorId="0" shapeId="0" xr:uid="{1365576E-5AA9-45C9-BAFC-A535BBC86D61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1375 Rent
38.42-gas</t>
        </r>
      </text>
    </comment>
  </commentList>
</comments>
</file>

<file path=xl/comments5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  <author>jerah</author>
  </authors>
  <commentList>
    <comment ref="D7" authorId="0" shapeId="0" xr:uid="{3588E1E7-9FE6-4940-945C-80BC64AC7FE3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346.88-interest
525-drill rental
</t>
        </r>
      </text>
    </comment>
    <comment ref="E7" authorId="0" shapeId="0" xr:uid="{F1E8022D-13CC-4E3A-A9DC-7141075234D4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1375-rent
- overhead
1375.00-rent
74.83-drill jack
 overhead
4661.29-staff time
1558.25-leave
30-sanford area 111
550-farm and home publishing
37.50-zero county allocation
</t>
        </r>
      </text>
    </comment>
    <comment ref="E10" authorId="0" shapeId="0" xr:uid="{492B184F-4967-4335-A9C3-FC8BCF464F06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2780.93-ML SWCD staff time
3044.07-TSA Staff Time
72-Water Testing-RMB</t>
        </r>
      </text>
    </comment>
    <comment ref="E29" authorId="1" shapeId="0" xr:uid="{B2A3070E-0A6E-47FD-A186-1F839E941D32}">
      <text>
        <r>
          <rPr>
            <b/>
            <sz val="9"/>
            <color indexed="81"/>
            <rFont val="Tahoma"/>
            <family val="2"/>
          </rPr>
          <t>jerah:</t>
        </r>
        <r>
          <rPr>
            <sz val="9"/>
            <color indexed="81"/>
            <rFont val="Tahoma"/>
            <family val="2"/>
          </rPr>
          <t xml:space="preserve">
298.75 from DP april 24 staff time
</t>
        </r>
      </text>
    </comment>
    <comment ref="D53" authorId="0" shapeId="0" xr:uid="{1EB83444-70F2-41A8-B091-34598C66E016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interest 281.52
</t>
        </r>
      </text>
    </comment>
    <comment ref="E53" authorId="0" shapeId="0" xr:uid="{98F94547-2D48-4436-BE28-917BF0824C60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1375 Rent
88.25-gas</t>
        </r>
      </text>
    </comment>
  </commentList>
</comments>
</file>

<file path=xl/comments5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  <author>jerah</author>
  </authors>
  <commentList>
    <comment ref="D7" authorId="0" shapeId="0" xr:uid="{A0F8F3E3-3DEB-48D9-95C1-7CAA1FFFEA37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337.38-interest
2371.60-drill rental
2000-Pokegama Lake Assoc.
81.65-MCIT Member Div.
1273-MCIT Member Div
</t>
        </r>
      </text>
    </comment>
    <comment ref="E7" authorId="0" shapeId="0" xr:uid="{CF80B314-BEE0-4129-8864-CC24271F74EB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1375-rent
-3412.54 overhead
1451.32-staff time
2807.35-leave
12.99-drill wrench
194.21-emp training
744.17-mileage reimburse
650-computer maint.
433.75-job postings
425.14-vehicle maint
1618-newsletter expense
</t>
        </r>
      </text>
    </comment>
    <comment ref="E10" authorId="0" shapeId="0" xr:uid="{F40A90A3-ADDD-47BD-87D4-006D137FEE90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2780.93-ML SWCD staff time
3044.07-TSA Staff Time
72-Water Testing-RMB</t>
        </r>
      </text>
    </comment>
    <comment ref="E29" authorId="1" shapeId="0" xr:uid="{F1FFD4FB-A443-42D3-8A51-B7CF0264912D}">
      <text>
        <r>
          <rPr>
            <b/>
            <sz val="9"/>
            <color indexed="81"/>
            <rFont val="Tahoma"/>
            <family val="2"/>
          </rPr>
          <t>jerah:</t>
        </r>
        <r>
          <rPr>
            <sz val="9"/>
            <color indexed="81"/>
            <rFont val="Tahoma"/>
            <family val="2"/>
          </rPr>
          <t xml:space="preserve">
298.75 from DP april 24 staff time
</t>
        </r>
      </text>
    </comment>
    <comment ref="D53" authorId="0" shapeId="0" xr:uid="{21831E5D-01EC-4DE2-AE69-5EDA3C4A6DAB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interest 269.11
</t>
        </r>
      </text>
    </comment>
    <comment ref="E53" authorId="0" shapeId="0" xr:uid="{B9F40C84-3DAB-4CBB-BE78-2BE64D78B6D4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1375 Rent
88.25-gas</t>
        </r>
      </text>
    </comment>
  </commentList>
</comments>
</file>

<file path=xl/comments5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  <author>jerah</author>
  </authors>
  <commentList>
    <comment ref="D7" authorId="0" shapeId="0" xr:uid="{69D5CFD9-8B36-4604-A627-9EC28F1BD598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4345.17-interest
</t>
        </r>
      </text>
    </comment>
    <comment ref="E7" authorId="0" shapeId="0" xr:uid="{85DE9F2A-335D-4CB3-BB53-D3B575D461BB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1375-rent
-9906.77 overhead
154.72-staff time
3631.28-leave
1618-newsletter expense
3547.16-Superviser perdiem
</t>
        </r>
      </text>
    </comment>
    <comment ref="E10" authorId="0" shapeId="0" xr:uid="{D069E0D8-847F-4DF7-9D10-B8B404E3F434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2780.93-ML SWCD staff time
3044.07-TSA Staff Time
72-Water Testing-RMB</t>
        </r>
      </text>
    </comment>
    <comment ref="E36" authorId="1" shapeId="0" xr:uid="{F8B63B2F-7442-4F3E-8B0D-A31F44EBB7E5}">
      <text>
        <r>
          <rPr>
            <b/>
            <sz val="9"/>
            <color indexed="81"/>
            <rFont val="Tahoma"/>
            <family val="2"/>
          </rPr>
          <t>jerah:</t>
        </r>
        <r>
          <rPr>
            <sz val="9"/>
            <color indexed="81"/>
            <rFont val="Tahoma"/>
            <family val="2"/>
          </rPr>
          <t xml:space="preserve">
FY20 paid back to BWSR 1968.49
FY21 paid back to BWSR 2904.40
7685.60-Lokken Shoreline 7/18/24
302.30-july 24 staff time</t>
        </r>
      </text>
    </comment>
    <comment ref="D54" authorId="0" shapeId="0" xr:uid="{25B8021D-4079-484B-A356-AD55D79DC88F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interest 275.51
</t>
        </r>
      </text>
    </comment>
    <comment ref="E54" authorId="0" shapeId="0" xr:uid="{2309617C-37E7-4995-BC59-F6A5DD889BFE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1375 Rent
90.00-Emergency pc
35.27-gas</t>
        </r>
      </text>
    </comment>
  </commentList>
</comments>
</file>

<file path=xl/comments5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</authors>
  <commentList>
    <comment ref="D7" authorId="0" shapeId="0" xr:uid="{D0753221-76E2-4C14-8594-908FE2B34237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354.03-interest
2186.49-newsletter grant reimburse
</t>
        </r>
      </text>
    </comment>
    <comment ref="E7" authorId="0" shapeId="0" xr:uid="{A6A540B5-B499-40EA-88C5-E16E91757D27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1375-rent
-10938.90 overhead
154.72-staff time
1512.84-leave
36.44-drill newsletter
96.13-drill staff time
80-peplinski/sanford area III mtg
50.75-dp mileage reimburse
1240.59-pine swcd (dm hiring assistance)
357.57-adobe renewal
</t>
        </r>
      </text>
    </comment>
    <comment ref="E10" authorId="0" shapeId="0" xr:uid="{E5B80541-A0FA-4CC0-93DE-339F56ED3BC5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2780.93-ML SWCD staff time
3044.07-TSA Staff Time
72-Water Testing-RMB</t>
        </r>
      </text>
    </comment>
    <comment ref="D54" authorId="0" shapeId="0" xr:uid="{4BFE764C-CDD8-4CAE-B7C6-48A4924D4BF7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interest 264.70
81.17-gas
</t>
        </r>
      </text>
    </comment>
    <comment ref="E54" authorId="0" shapeId="0" xr:uid="{3DAE0CF5-3DFC-4EB2-8306-817494465B49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1375 Rent
81.17-gas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</authors>
  <commentList>
    <comment ref="E7" authorId="0" shapeId="0" xr:uid="{B8FAFB73-4D08-4850-9C42-B6EF326CECE0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Spire/NNB Interest
</t>
        </r>
      </text>
    </comment>
    <comment ref="F7" authorId="0" shapeId="0" xr:uid="{60D22085-E30A-413C-AD1C-EADD4CD3B0B2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1831.13 Leave
1313.41 staff time
-5773.32 overhead
</t>
        </r>
      </text>
    </comment>
    <comment ref="G41" authorId="0" shapeId="0" xr:uid="{0DCA7323-ED30-4855-B842-D2AE3F844361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MN PIEP</t>
        </r>
      </text>
    </comment>
    <comment ref="G43" authorId="0" shapeId="0" xr:uid="{7AD27828-6C7D-4E4A-92F7-15E24E80ADCA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Rent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</authors>
  <commentList>
    <comment ref="E7" authorId="0" shapeId="0" xr:uid="{943BD57F-541A-4CBB-A5C4-A3254F98ECD8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Spire/NNB Interest
</t>
        </r>
      </text>
    </comment>
    <comment ref="F7" authorId="0" shapeId="0" xr:uid="{B38F274F-DA98-4288-8F84-BBB3768DAF23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236.65 Leave
657.68 staff time
-5456.55 overhead
</t>
        </r>
      </text>
    </comment>
    <comment ref="G43" authorId="0" shapeId="0" xr:uid="{2723F8B6-CE66-4A5F-9020-690124F88E58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Rent
10 withdrawal fee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</authors>
  <commentList>
    <comment ref="E7" authorId="0" shapeId="0" xr:uid="{4D6439C3-7FA0-45E4-BD80-4272392FCAD9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Spire/NNB Interest
1500 TSA admin</t>
        </r>
      </text>
    </comment>
    <comment ref="F7" authorId="0" shapeId="0" xr:uid="{A27E143C-BF81-49EA-BC2B-9543A94058C6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1844.38 Leave
728.67 staff time
-11294.91 overhead
773.44-misc. expenses
361.44-Genesis/Kanabec Co (IT work)
1000 Rent
</t>
        </r>
      </text>
    </comment>
    <comment ref="G44" authorId="0" shapeId="0" xr:uid="{F04AC444-4443-4C74-B65E-69772D434D02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Rent
10 withdrawal fee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SWuser</author>
  </authors>
  <commentList>
    <comment ref="E7" authorId="0" shapeId="0" xr:uid="{D9ADD83E-F4B0-41EF-8932-5A2D3C5F79F4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Spire/NNB Interest
</t>
        </r>
      </text>
    </comment>
    <comment ref="F7" authorId="0" shapeId="0" xr:uid="{27297C63-15C5-4796-8A0F-3454B0EB70C5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1844.38 Leave
 906.87 staff time
 -8475.51 overhead
164.87-FatCow Renew
1000 Rent
</t>
        </r>
      </text>
    </comment>
    <comment ref="E44" authorId="0" shapeId="0" xr:uid="{DB8D2508-D0D9-4CE3-80AA-7663EDAD62EF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1007.72-uncleared transactions 1000 and 7.72
</t>
        </r>
      </text>
    </comment>
    <comment ref="G45" authorId="0" shapeId="0" xr:uid="{8DAA26E8-A60A-4062-8FCF-E92AE3937FCD}">
      <text>
        <r>
          <rPr>
            <b/>
            <sz val="9"/>
            <color indexed="81"/>
            <rFont val="Tahoma"/>
            <family val="2"/>
          </rPr>
          <t>SWuser:</t>
        </r>
        <r>
          <rPr>
            <sz val="9"/>
            <color indexed="81"/>
            <rFont val="Tahoma"/>
            <family val="2"/>
          </rPr>
          <t xml:space="preserve">
Rent
10 withdrawal fee</t>
        </r>
      </text>
    </comment>
  </commentList>
</comments>
</file>

<file path=xl/sharedStrings.xml><?xml version="1.0" encoding="utf-8"?>
<sst xmlns="http://schemas.openxmlformats.org/spreadsheetml/2006/main" count="3541" uniqueCount="173">
  <si>
    <t xml:space="preserve">Kanabec SWCD Treasurer's Report </t>
  </si>
  <si>
    <t>Operating Funds</t>
  </si>
  <si>
    <t>Beg. Balance</t>
  </si>
  <si>
    <t>Receipts</t>
  </si>
  <si>
    <t>Disbursements</t>
  </si>
  <si>
    <t>End Balance</t>
  </si>
  <si>
    <t>Expected</t>
  </si>
  <si>
    <t>District Funds:</t>
  </si>
  <si>
    <t>AIS</t>
  </si>
  <si>
    <t>County Allotment</t>
  </si>
  <si>
    <t>BWSR Service Grants:</t>
  </si>
  <si>
    <t xml:space="preserve">                        Subtotal</t>
  </si>
  <si>
    <t>Deanna</t>
  </si>
  <si>
    <t>Use of Cash</t>
  </si>
  <si>
    <t>Petty Cash</t>
  </si>
  <si>
    <t>Checking - Neighborhood Nat'l Bank</t>
  </si>
  <si>
    <t>Savings - Neighborhood Nat'l Bank</t>
  </si>
  <si>
    <t>Treasurer's Signature _________________________________</t>
  </si>
  <si>
    <t>Date ____________________</t>
  </si>
  <si>
    <t>Supervisor's Signature _________________________________</t>
  </si>
  <si>
    <t>Trees &amp; Plat Books</t>
  </si>
  <si>
    <t>Deposits in Transit</t>
  </si>
  <si>
    <t>Sales Tax Liability</t>
  </si>
  <si>
    <t>District General</t>
  </si>
  <si>
    <t>Transfers</t>
  </si>
  <si>
    <t>Total</t>
  </si>
  <si>
    <t>-</t>
  </si>
  <si>
    <t>Disb.</t>
  </si>
  <si>
    <t>MAWQCP</t>
  </si>
  <si>
    <t>Isanti Admin Asst</t>
  </si>
  <si>
    <t>Snake River Watershed Mgmt Board</t>
  </si>
  <si>
    <t>Forestry Planning - Snake (TNC)</t>
  </si>
  <si>
    <t>NRBG Wetland Conservation Act</t>
  </si>
  <si>
    <t>Buffer Cost-Share</t>
  </si>
  <si>
    <t>Capacity FY18</t>
  </si>
  <si>
    <t>Dedicated Project Funds:</t>
  </si>
  <si>
    <t>Conservation Delivery</t>
  </si>
  <si>
    <t>Reimbursable</t>
  </si>
  <si>
    <t>NRBG - Water Plan Implementation</t>
  </si>
  <si>
    <t>Capacity FY19</t>
  </si>
  <si>
    <t>Uncleared Transactions</t>
  </si>
  <si>
    <t>St. Croix P Reduction (Ann River)</t>
  </si>
  <si>
    <t>DNR OB Wells</t>
  </si>
  <si>
    <t>Ag BMP Loans</t>
  </si>
  <si>
    <t>RIM</t>
  </si>
  <si>
    <t>Buffer Technical Assistance 18-19</t>
  </si>
  <si>
    <t>Spire - All three accounts</t>
  </si>
  <si>
    <t>CWF Mora Stormwater</t>
  </si>
  <si>
    <t>State Cost-Share 18-19-20</t>
  </si>
  <si>
    <t>Cap FY17</t>
  </si>
  <si>
    <t>December 2019</t>
  </si>
  <si>
    <t>overhead</t>
  </si>
  <si>
    <t>364.14 adjusted dist. General to beg. Balance per nov. end balance</t>
  </si>
  <si>
    <t>County Funds</t>
  </si>
  <si>
    <t>Moved from Savings to Checking</t>
  </si>
  <si>
    <t>Conservation Delivery FY20</t>
  </si>
  <si>
    <t>January 2020</t>
  </si>
  <si>
    <t>February 2020</t>
  </si>
  <si>
    <t>Expenses</t>
  </si>
  <si>
    <t>Total Expenses 22602.36; 5750.44 Personal Misc. Time, 2500 added to Capacity FY19, -234 district land
1589.16-Supervisor Expenses
13979.20 leave balance zeroed out
1000.00-rent
6034.00-district Insurance</t>
  </si>
  <si>
    <t>March 2020</t>
  </si>
  <si>
    <t>April 2020</t>
  </si>
  <si>
    <t>Snake River Watershed 1W1P</t>
  </si>
  <si>
    <t>May 2020</t>
  </si>
  <si>
    <t>Buffer Technical Assistance 18-19-20</t>
  </si>
  <si>
    <t>Capacity FY20</t>
  </si>
  <si>
    <t>June 2020</t>
  </si>
  <si>
    <t>SRWMB</t>
  </si>
  <si>
    <t>July 2020</t>
  </si>
  <si>
    <t>State Cost-Share 18-19-20-21</t>
  </si>
  <si>
    <t>Conservation Delivery FY21</t>
  </si>
  <si>
    <t>August 2020</t>
  </si>
  <si>
    <t>September 2020</t>
  </si>
  <si>
    <t>October 2020</t>
  </si>
  <si>
    <t>November 2020</t>
  </si>
  <si>
    <t>December 2020</t>
  </si>
  <si>
    <t>January 2021</t>
  </si>
  <si>
    <t>Buffer Technical Assistance 19-20-21</t>
  </si>
  <si>
    <t>State Cost-Share 20-21</t>
  </si>
  <si>
    <t>Reconcile to close grant</t>
  </si>
  <si>
    <t>Reconcile to zero balance to beging 21'</t>
  </si>
  <si>
    <t>reconcile 20</t>
  </si>
  <si>
    <t>zero 20' leave time</t>
  </si>
  <si>
    <t xml:space="preserve">Rec. </t>
  </si>
  <si>
    <t>Reconcile 2020</t>
  </si>
  <si>
    <t>Zero 20' balance</t>
  </si>
  <si>
    <t>Capacity FY21</t>
  </si>
  <si>
    <t>February 2021</t>
  </si>
  <si>
    <t>Buffer Technical Assistance 18-19-20-21</t>
  </si>
  <si>
    <t>March 2021</t>
  </si>
  <si>
    <t>Knife River Clean Up</t>
  </si>
  <si>
    <t>April 2021</t>
  </si>
  <si>
    <t>May 2021</t>
  </si>
  <si>
    <t>June 2021</t>
  </si>
  <si>
    <t>July 2021</t>
  </si>
  <si>
    <t>August 2021</t>
  </si>
  <si>
    <t>September 2021</t>
  </si>
  <si>
    <t>October 2021</t>
  </si>
  <si>
    <t>November 2021</t>
  </si>
  <si>
    <t>Hwy 65/Fish Lake</t>
  </si>
  <si>
    <t>December 2021</t>
  </si>
  <si>
    <t>Capacity FY22</t>
  </si>
  <si>
    <t>January 2022</t>
  </si>
  <si>
    <t>Buffer Technical Assistance 20-22</t>
  </si>
  <si>
    <t>State Cost-Share 20-21-22</t>
  </si>
  <si>
    <t>Conservation Delivery FY22</t>
  </si>
  <si>
    <t>February 2022</t>
  </si>
  <si>
    <t>reconcile 2021</t>
  </si>
  <si>
    <t>March 2022</t>
  </si>
  <si>
    <t>April 2022</t>
  </si>
  <si>
    <t>May 2022</t>
  </si>
  <si>
    <t>Lawns 2 Legumes</t>
  </si>
  <si>
    <t>June 2022</t>
  </si>
  <si>
    <t>July 2022</t>
  </si>
  <si>
    <t>State Cost-Share 20-21-22-23</t>
  </si>
  <si>
    <t>Conservation Delivery FY23</t>
  </si>
  <si>
    <t>August 2022</t>
  </si>
  <si>
    <t>District Land</t>
  </si>
  <si>
    <t>September 2022</t>
  </si>
  <si>
    <t>Capacity FY23</t>
  </si>
  <si>
    <t>Buffer Technical Assistance 20-23</t>
  </si>
  <si>
    <t>October 2022</t>
  </si>
  <si>
    <t>November 2022</t>
  </si>
  <si>
    <t>December 2022</t>
  </si>
  <si>
    <t>January 2023</t>
  </si>
  <si>
    <t>State Cost-Share 23</t>
  </si>
  <si>
    <t>February 2023</t>
  </si>
  <si>
    <t>reconciled 22'</t>
  </si>
  <si>
    <t>reconcile 22'</t>
  </si>
  <si>
    <t>zero 22-moved to DG</t>
  </si>
  <si>
    <t>March 2023</t>
  </si>
  <si>
    <t>Soil Health-State Cost Share</t>
  </si>
  <si>
    <t xml:space="preserve">District Funds: </t>
  </si>
  <si>
    <t>Unrestrictive Funds</t>
  </si>
  <si>
    <t>Service Grants</t>
  </si>
  <si>
    <t>Dedicated Funds</t>
  </si>
  <si>
    <t>April 2023</t>
  </si>
  <si>
    <t>May 2023</t>
  </si>
  <si>
    <t>Ann Lake Treatment</t>
  </si>
  <si>
    <t>June 2023</t>
  </si>
  <si>
    <t>July 2023</t>
  </si>
  <si>
    <t>State Aid</t>
  </si>
  <si>
    <t>August 2023</t>
  </si>
  <si>
    <t>Buffer Technical Assistance 21-23</t>
  </si>
  <si>
    <t>September 2023</t>
  </si>
  <si>
    <t>October 2023</t>
  </si>
  <si>
    <t>State Cost-Share 23/Conservation Contracts 24-25</t>
  </si>
  <si>
    <t>Conservation Delivery FY23, FY24, FY25</t>
  </si>
  <si>
    <t>November 2023</t>
  </si>
  <si>
    <t>December 2023</t>
  </si>
  <si>
    <t>COD</t>
  </si>
  <si>
    <t>January 2024</t>
  </si>
  <si>
    <t>Conservation Delivery FY24, FY25</t>
  </si>
  <si>
    <t>State Cost-Share 21-23/Conservation Contracts 24-25</t>
  </si>
  <si>
    <t>reconcile '23</t>
  </si>
  <si>
    <t>February 2024</t>
  </si>
  <si>
    <t>Buffer Technical Assistance 21-24</t>
  </si>
  <si>
    <t>Conservation Delivery FY22-FY25</t>
  </si>
  <si>
    <t xml:space="preserve">reconcile Con Del. </t>
  </si>
  <si>
    <t>Snake River Watershed WBIF</t>
  </si>
  <si>
    <t>March 2024</t>
  </si>
  <si>
    <t>April 2024</t>
  </si>
  <si>
    <t>Blaze - All three accounts</t>
  </si>
  <si>
    <t>May 2024</t>
  </si>
  <si>
    <t>Buffer Technical Assistance 22-24</t>
  </si>
  <si>
    <t>Reconciled June '24</t>
  </si>
  <si>
    <t>June 2024</t>
  </si>
  <si>
    <t>Soil Health Staff Time FY25</t>
  </si>
  <si>
    <t>Reconciled July '24</t>
  </si>
  <si>
    <t>State Aid FY24</t>
  </si>
  <si>
    <t>State Aid FY25</t>
  </si>
  <si>
    <t>July 2024</t>
  </si>
  <si>
    <t>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</si>
</sst>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6100"/>
      <name val="Calibri"/>
      <family val="2"/>
      <scheme val="minor"/>
    </font>
    <font>
      <sz val="9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9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9D7F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3F3F"/>
        <bgColor indexed="64"/>
      </patternFill>
    </fill>
    <fill>
      <patternFill patternType="solid">
        <fgColor rgb="FFC6EFCE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rgb="FFFF0000"/>
        <bgColor indexed="64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theme="2" tint="-9.9978637043366805E-2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16" fillId="16" borderId="0" applyNumberFormat="0" applyBorder="0" applyAlignment="0" applyProtection="0"/>
    <xf numFmtId="0" fontId="1" fillId="17" borderId="0" applyNumberFormat="0" applyBorder="0" applyAlignment="0" applyProtection="0"/>
    <xf numFmtId="44" fontId="1" fillId="0" borderId="0" applyFont="0" applyFill="0" applyBorder="0" applyAlignment="0" applyProtection="0"/>
    <xf numFmtId="0" fontId="1" fillId="19" borderId="33" applyNumberFormat="0" applyFont="0" applyAlignment="0" applyProtection="0"/>
    <xf numFmtId="0" fontId="17" fillId="21" borderId="0" applyNumberFormat="0" applyBorder="0" applyAlignment="0" applyProtection="0"/>
    <xf numFmtId="0" fontId="22" fillId="23" borderId="0" applyNumberFormat="0" applyBorder="0" applyAlignment="0" applyProtection="0"/>
  </cellStyleXfs>
  <cellXfs count="833">
    <xf numFmtId="0" fontId="0" fillId="0" borderId="0" xfId="0"/>
    <xf numFmtId="0" fontId="5" fillId="0" borderId="0" xfId="0" applyFont="1"/>
    <xf numFmtId="164" fontId="5" fillId="0" borderId="0" xfId="0" applyNumberFormat="1" applyFont="1"/>
    <xf numFmtId="164" fontId="0" fillId="0" borderId="0" xfId="0" applyNumberFormat="1"/>
    <xf numFmtId="43" fontId="0" fillId="0" borderId="0" xfId="0" applyNumberFormat="1"/>
    <xf numFmtId="9" fontId="0" fillId="0" borderId="0" xfId="2" applyFont="1"/>
    <xf numFmtId="44" fontId="0" fillId="0" borderId="0" xfId="0" applyNumberFormat="1"/>
    <xf numFmtId="0" fontId="2" fillId="0" borderId="0" xfId="0" applyFont="1"/>
    <xf numFmtId="43" fontId="0" fillId="0" borderId="0" xfId="1" applyFont="1"/>
    <xf numFmtId="0" fontId="2" fillId="5" borderId="7" xfId="0" applyFont="1" applyFill="1" applyBorder="1" applyAlignment="1">
      <alignment horizontal="right"/>
    </xf>
    <xf numFmtId="0" fontId="0" fillId="0" borderId="14" xfId="0" applyBorder="1"/>
    <xf numFmtId="0" fontId="2" fillId="0" borderId="14" xfId="0" applyFont="1" applyBorder="1" applyAlignment="1">
      <alignment horizontal="left" indent="1"/>
    </xf>
    <xf numFmtId="0" fontId="2" fillId="3" borderId="14" xfId="0" applyFont="1" applyFill="1" applyBorder="1" applyAlignment="1">
      <alignment horizontal="left" indent="1"/>
    </xf>
    <xf numFmtId="0" fontId="0" fillId="0" borderId="12" xfId="0" applyBorder="1"/>
    <xf numFmtId="0" fontId="0" fillId="0" borderId="24" xfId="0" applyBorder="1" applyAlignment="1">
      <alignment horizontal="left" indent="1"/>
    </xf>
    <xf numFmtId="0" fontId="0" fillId="5" borderId="8" xfId="0" applyFill="1" applyBorder="1" applyAlignment="1">
      <alignment horizontal="right"/>
    </xf>
    <xf numFmtId="0" fontId="0" fillId="0" borderId="1" xfId="0" applyBorder="1" applyAlignment="1">
      <alignment horizontal="left" indent="1"/>
    </xf>
    <xf numFmtId="165" fontId="0" fillId="0" borderId="0" xfId="0" applyNumberFormat="1"/>
    <xf numFmtId="0" fontId="0" fillId="3" borderId="26" xfId="0" applyFill="1" applyBorder="1" applyAlignment="1">
      <alignment horizontal="left"/>
    </xf>
    <xf numFmtId="0" fontId="0" fillId="0" borderId="26" xfId="0" applyBorder="1"/>
    <xf numFmtId="0" fontId="0" fillId="0" borderId="26" xfId="0" applyBorder="1" applyAlignment="1">
      <alignment horizontal="left"/>
    </xf>
    <xf numFmtId="0" fontId="0" fillId="0" borderId="26" xfId="0" applyBorder="1" applyAlignment="1">
      <alignment wrapText="1"/>
    </xf>
    <xf numFmtId="0" fontId="0" fillId="0" borderId="25" xfId="0" applyBorder="1" applyAlignment="1">
      <alignment horizontal="left"/>
    </xf>
    <xf numFmtId="4" fontId="0" fillId="0" borderId="0" xfId="0" applyNumberFormat="1"/>
    <xf numFmtId="4" fontId="0" fillId="2" borderId="11" xfId="0" applyNumberFormat="1" applyFill="1" applyBorder="1" applyAlignment="1">
      <alignment horizontal="center"/>
    </xf>
    <xf numFmtId="4" fontId="2" fillId="4" borderId="2" xfId="0" applyNumberFormat="1" applyFont="1" applyFill="1" applyBorder="1"/>
    <xf numFmtId="4" fontId="0" fillId="0" borderId="3" xfId="0" applyNumberFormat="1" applyBorder="1"/>
    <xf numFmtId="4" fontId="0" fillId="0" borderId="5" xfId="1" applyNumberFormat="1" applyFont="1" applyBorder="1"/>
    <xf numFmtId="4" fontId="0" fillId="0" borderId="5" xfId="0" applyNumberFormat="1" applyBorder="1"/>
    <xf numFmtId="4" fontId="0" fillId="0" borderId="20" xfId="0" applyNumberFormat="1" applyBorder="1"/>
    <xf numFmtId="4" fontId="0" fillId="0" borderId="21" xfId="0" applyNumberFormat="1" applyBorder="1"/>
    <xf numFmtId="4" fontId="0" fillId="2" borderId="21" xfId="0" applyNumberFormat="1" applyFill="1" applyBorder="1" applyAlignment="1">
      <alignment horizontal="center"/>
    </xf>
    <xf numFmtId="4" fontId="0" fillId="0" borderId="18" xfId="0" applyNumberFormat="1" applyBorder="1"/>
    <xf numFmtId="4" fontId="0" fillId="5" borderId="20" xfId="0" applyNumberFormat="1" applyFill="1" applyBorder="1"/>
    <xf numFmtId="4" fontId="0" fillId="5" borderId="21" xfId="0" applyNumberFormat="1" applyFill="1" applyBorder="1"/>
    <xf numFmtId="4" fontId="0" fillId="5" borderId="22" xfId="0" applyNumberFormat="1" applyFill="1" applyBorder="1"/>
    <xf numFmtId="4" fontId="0" fillId="0" borderId="2" xfId="0" applyNumberFormat="1" applyBorder="1"/>
    <xf numFmtId="0" fontId="0" fillId="3" borderId="25" xfId="0" applyFill="1" applyBorder="1" applyAlignment="1">
      <alignment horizontal="left"/>
    </xf>
    <xf numFmtId="4" fontId="2" fillId="4" borderId="20" xfId="0" applyNumberFormat="1" applyFont="1" applyFill="1" applyBorder="1"/>
    <xf numFmtId="4" fontId="0" fillId="0" borderId="3" xfId="0" quotePrefix="1" applyNumberFormat="1" applyBorder="1"/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4" fontId="0" fillId="8" borderId="21" xfId="0" applyNumberFormat="1" applyFill="1" applyBorder="1"/>
    <xf numFmtId="4" fontId="2" fillId="8" borderId="20" xfId="0" applyNumberFormat="1" applyFont="1" applyFill="1" applyBorder="1"/>
    <xf numFmtId="4" fontId="2" fillId="9" borderId="20" xfId="0" applyNumberFormat="1" applyFont="1" applyFill="1" applyBorder="1"/>
    <xf numFmtId="4" fontId="0" fillId="9" borderId="22" xfId="0" applyNumberFormat="1" applyFill="1" applyBorder="1"/>
    <xf numFmtId="4" fontId="0" fillId="10" borderId="21" xfId="0" applyNumberFormat="1" applyFill="1" applyBorder="1"/>
    <xf numFmtId="4" fontId="2" fillId="10" borderId="20" xfId="0" applyNumberFormat="1" applyFont="1" applyFill="1" applyBorder="1"/>
    <xf numFmtId="4" fontId="0" fillId="0" borderId="13" xfId="0" applyNumberFormat="1" applyBorder="1"/>
    <xf numFmtId="4" fontId="0" fillId="0" borderId="4" xfId="0" applyNumberFormat="1" applyBorder="1"/>
    <xf numFmtId="4" fontId="0" fillId="0" borderId="0" xfId="0" applyNumberFormat="1" applyAlignment="1">
      <alignment horizontal="center"/>
    </xf>
    <xf numFmtId="4" fontId="0" fillId="11" borderId="0" xfId="0" applyNumberFormat="1" applyFill="1" applyAlignment="1">
      <alignment horizontal="center"/>
    </xf>
    <xf numFmtId="0" fontId="0" fillId="11" borderId="26" xfId="0" applyFill="1" applyBorder="1"/>
    <xf numFmtId="0" fontId="0" fillId="11" borderId="26" xfId="0" applyFill="1" applyBorder="1" applyAlignment="1">
      <alignment horizontal="left"/>
    </xf>
    <xf numFmtId="4" fontId="2" fillId="7" borderId="2" xfId="0" applyNumberFormat="1" applyFont="1" applyFill="1" applyBorder="1"/>
    <xf numFmtId="0" fontId="0" fillId="11" borderId="28" xfId="0" applyFill="1" applyBorder="1" applyAlignment="1">
      <alignment horizontal="left"/>
    </xf>
    <xf numFmtId="4" fontId="0" fillId="12" borderId="5" xfId="0" applyNumberFormat="1" applyFill="1" applyBorder="1"/>
    <xf numFmtId="4" fontId="0" fillId="12" borderId="18" xfId="1" applyNumberFormat="1" applyFont="1" applyFill="1" applyBorder="1"/>
    <xf numFmtId="4" fontId="0" fillId="12" borderId="19" xfId="0" applyNumberFormat="1" applyFill="1" applyBorder="1"/>
    <xf numFmtId="4" fontId="0" fillId="12" borderId="29" xfId="0" applyNumberFormat="1" applyFill="1" applyBorder="1"/>
    <xf numFmtId="4" fontId="0" fillId="12" borderId="13" xfId="0" applyNumberFormat="1" applyFill="1" applyBorder="1"/>
    <xf numFmtId="4" fontId="0" fillId="12" borderId="18" xfId="0" applyNumberFormat="1" applyFill="1" applyBorder="1"/>
    <xf numFmtId="4" fontId="2" fillId="7" borderId="2" xfId="1" applyNumberFormat="1" applyFont="1" applyFill="1" applyBorder="1"/>
    <xf numFmtId="4" fontId="0" fillId="4" borderId="2" xfId="1" applyNumberFormat="1" applyFont="1" applyFill="1" applyBorder="1"/>
    <xf numFmtId="4" fontId="0" fillId="0" borderId="0" xfId="0" applyNumberFormat="1" applyAlignment="1">
      <alignment horizontal="right"/>
    </xf>
    <xf numFmtId="166" fontId="0" fillId="0" borderId="0" xfId="0" applyNumberFormat="1"/>
    <xf numFmtId="4" fontId="0" fillId="0" borderId="3" xfId="1" applyNumberFormat="1" applyFont="1" applyBorder="1"/>
    <xf numFmtId="4" fontId="2" fillId="0" borderId="3" xfId="1" applyNumberFormat="1" applyFont="1" applyBorder="1"/>
    <xf numFmtId="4" fontId="0" fillId="0" borderId="5" xfId="0" applyNumberFormat="1" applyFill="1" applyBorder="1"/>
    <xf numFmtId="4" fontId="0" fillId="0" borderId="3" xfId="0" applyNumberFormat="1" applyFill="1" applyBorder="1"/>
    <xf numFmtId="4" fontId="9" fillId="0" borderId="5" xfId="1" applyNumberFormat="1" applyFont="1" applyFill="1" applyBorder="1"/>
    <xf numFmtId="4" fontId="0" fillId="6" borderId="0" xfId="0" applyNumberFormat="1" applyFill="1"/>
    <xf numFmtId="4" fontId="0" fillId="4" borderId="0" xfId="1" applyNumberFormat="1" applyFont="1" applyFill="1" applyBorder="1"/>
    <xf numFmtId="4" fontId="0" fillId="0" borderId="0" xfId="1" applyNumberFormat="1" applyFont="1" applyFill="1" applyBorder="1"/>
    <xf numFmtId="4" fontId="1" fillId="0" borderId="0" xfId="1" applyNumberFormat="1" applyFill="1" applyBorder="1"/>
    <xf numFmtId="4" fontId="0" fillId="0" borderId="4" xfId="1" applyNumberFormat="1" applyFont="1" applyBorder="1"/>
    <xf numFmtId="4" fontId="0" fillId="7" borderId="4" xfId="1" applyNumberFormat="1" applyFont="1" applyFill="1" applyBorder="1"/>
    <xf numFmtId="4" fontId="1" fillId="0" borderId="5" xfId="1" applyNumberFormat="1" applyBorder="1"/>
    <xf numFmtId="4" fontId="0" fillId="4" borderId="21" xfId="0" applyNumberFormat="1" applyFill="1" applyBorder="1"/>
    <xf numFmtId="43" fontId="12" fillId="0" borderId="0" xfId="0" applyNumberFormat="1" applyFont="1"/>
    <xf numFmtId="0" fontId="0" fillId="0" borderId="7" xfId="0" applyBorder="1" applyAlignment="1">
      <alignment horizontal="left" indent="1"/>
    </xf>
    <xf numFmtId="0" fontId="0" fillId="0" borderId="23" xfId="0" applyBorder="1" applyAlignment="1">
      <alignment horizontal="left" indent="1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/>
    <xf numFmtId="4" fontId="7" fillId="0" borderId="0" xfId="0" applyNumberFormat="1" applyFont="1"/>
    <xf numFmtId="0" fontId="0" fillId="0" borderId="0" xfId="0" applyAlignment="1">
      <alignment horizontal="center"/>
    </xf>
    <xf numFmtId="4" fontId="0" fillId="0" borderId="1" xfId="0" applyNumberFormat="1" applyBorder="1"/>
    <xf numFmtId="4" fontId="2" fillId="13" borderId="3" xfId="0" quotePrefix="1" applyNumberFormat="1" applyFont="1" applyFill="1" applyBorder="1"/>
    <xf numFmtId="4" fontId="2" fillId="13" borderId="1" xfId="0" applyNumberFormat="1" applyFont="1" applyFill="1" applyBorder="1"/>
    <xf numFmtId="4" fontId="0" fillId="14" borderId="4" xfId="1" applyNumberFormat="1" applyFont="1" applyFill="1" applyBorder="1"/>
    <xf numFmtId="4" fontId="8" fillId="0" borderId="0" xfId="0" applyNumberFormat="1" applyFont="1"/>
    <xf numFmtId="4" fontId="2" fillId="4" borderId="30" xfId="0" quotePrefix="1" applyNumberFormat="1" applyFont="1" applyFill="1" applyBorder="1"/>
    <xf numFmtId="4" fontId="2" fillId="4" borderId="5" xfId="1" applyNumberFormat="1" applyFont="1" applyFill="1" applyBorder="1"/>
    <xf numFmtId="4" fontId="2" fillId="0" borderId="1" xfId="0" applyNumberFormat="1" applyFont="1" applyBorder="1"/>
    <xf numFmtId="4" fontId="0" fillId="4" borderId="4" xfId="1" applyNumberFormat="1" applyFont="1" applyFill="1" applyBorder="1"/>
    <xf numFmtId="4" fontId="2" fillId="13" borderId="30" xfId="0" applyNumberFormat="1" applyFont="1" applyFill="1" applyBorder="1"/>
    <xf numFmtId="4" fontId="2" fillId="13" borderId="4" xfId="0" applyNumberFormat="1" applyFont="1" applyFill="1" applyBorder="1"/>
    <xf numFmtId="4" fontId="2" fillId="13" borderId="2" xfId="0" applyNumberFormat="1" applyFont="1" applyFill="1" applyBorder="1"/>
    <xf numFmtId="4" fontId="2" fillId="13" borderId="3" xfId="0" applyNumberFormat="1" applyFont="1" applyFill="1" applyBorder="1"/>
    <xf numFmtId="4" fontId="2" fillId="13" borderId="5" xfId="0" applyNumberFormat="1" applyFont="1" applyFill="1" applyBorder="1"/>
    <xf numFmtId="4" fontId="0" fillId="4" borderId="5" xfId="0" applyNumberFormat="1" applyFill="1" applyBorder="1"/>
    <xf numFmtId="0" fontId="0" fillId="0" borderId="0" xfId="0" applyAlignment="1">
      <alignment wrapText="1"/>
    </xf>
    <xf numFmtId="4" fontId="0" fillId="6" borderId="18" xfId="0" applyNumberFormat="1" applyFill="1" applyBorder="1"/>
    <xf numFmtId="4" fontId="0" fillId="5" borderId="3" xfId="0" quotePrefix="1" applyNumberFormat="1" applyFill="1" applyBorder="1"/>
    <xf numFmtId="4" fontId="2" fillId="5" borderId="5" xfId="1" applyNumberFormat="1" applyFont="1" applyFill="1" applyBorder="1"/>
    <xf numFmtId="4" fontId="2" fillId="5" borderId="1" xfId="0" applyNumberFormat="1" applyFont="1" applyFill="1" applyBorder="1"/>
    <xf numFmtId="4" fontId="2" fillId="0" borderId="4" xfId="0" applyNumberFormat="1" applyFont="1" applyFill="1" applyBorder="1"/>
    <xf numFmtId="4" fontId="0" fillId="0" borderId="4" xfId="1" applyNumberFormat="1" applyFont="1" applyFill="1" applyBorder="1"/>
    <xf numFmtId="4" fontId="2" fillId="5" borderId="2" xfId="0" applyNumberFormat="1" applyFont="1" applyFill="1" applyBorder="1"/>
    <xf numFmtId="4" fontId="0" fillId="5" borderId="2" xfId="1" applyNumberFormat="1" applyFont="1" applyFill="1" applyBorder="1"/>
    <xf numFmtId="43" fontId="12" fillId="0" borderId="0" xfId="0" applyNumberFormat="1" applyFont="1" applyFill="1"/>
    <xf numFmtId="4" fontId="2" fillId="12" borderId="18" xfId="0" applyNumberFormat="1" applyFont="1" applyFill="1" applyBorder="1"/>
    <xf numFmtId="4" fontId="2" fillId="12" borderId="29" xfId="0" applyNumberFormat="1" applyFont="1" applyFill="1" applyBorder="1"/>
    <xf numFmtId="4" fontId="2" fillId="12" borderId="19" xfId="0" applyNumberFormat="1" applyFont="1" applyFill="1" applyBorder="1"/>
    <xf numFmtId="4" fontId="2" fillId="0" borderId="13" xfId="0" applyNumberFormat="1" applyFont="1" applyBorder="1"/>
    <xf numFmtId="4" fontId="0" fillId="4" borderId="1" xfId="0" applyNumberFormat="1" applyFill="1" applyBorder="1"/>
    <xf numFmtId="4" fontId="2" fillId="4" borderId="5" xfId="0" applyNumberFormat="1" applyFont="1" applyFill="1" applyBorder="1"/>
    <xf numFmtId="4" fontId="2" fillId="4" borderId="4" xfId="0" applyNumberFormat="1" applyFont="1" applyFill="1" applyBorder="1"/>
    <xf numFmtId="4" fontId="2" fillId="4" borderId="3" xfId="0" applyNumberFormat="1" applyFont="1" applyFill="1" applyBorder="1"/>
    <xf numFmtId="4" fontId="0" fillId="4" borderId="3" xfId="0" quotePrefix="1" applyNumberFormat="1" applyFill="1" applyBorder="1"/>
    <xf numFmtId="4" fontId="0" fillId="4" borderId="5" xfId="1" applyNumberFormat="1" applyFont="1" applyFill="1" applyBorder="1"/>
    <xf numFmtId="4" fontId="0" fillId="4" borderId="3" xfId="0" applyNumberFormat="1" applyFill="1" applyBorder="1"/>
    <xf numFmtId="4" fontId="0" fillId="0" borderId="0" xfId="1" applyNumberFormat="1" applyFont="1" applyFill="1" applyBorder="1" applyAlignment="1">
      <alignment wrapText="1"/>
    </xf>
    <xf numFmtId="0" fontId="7" fillId="0" borderId="0" xfId="0" applyFont="1"/>
    <xf numFmtId="4" fontId="7" fillId="0" borderId="0" xfId="0" applyNumberFormat="1" applyFont="1"/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4" fontId="0" fillId="0" borderId="5" xfId="1" applyNumberFormat="1" applyFont="1" applyFill="1" applyBorder="1"/>
    <xf numFmtId="4" fontId="0" fillId="0" borderId="1" xfId="0" applyNumberFormat="1" applyFill="1" applyBorder="1"/>
    <xf numFmtId="4" fontId="2" fillId="0" borderId="5" xfId="0" applyNumberFormat="1" applyFont="1" applyFill="1" applyBorder="1"/>
    <xf numFmtId="4" fontId="2" fillId="5" borderId="5" xfId="0" applyNumberFormat="1" applyFont="1" applyFill="1" applyBorder="1"/>
    <xf numFmtId="4" fontId="2" fillId="5" borderId="3" xfId="0" applyNumberFormat="1" applyFont="1" applyFill="1" applyBorder="1"/>
    <xf numFmtId="4" fontId="2" fillId="5" borderId="4" xfId="0" applyNumberFormat="1" applyFont="1" applyFill="1" applyBorder="1"/>
    <xf numFmtId="4" fontId="0" fillId="5" borderId="1" xfId="0" applyNumberFormat="1" applyFill="1" applyBorder="1"/>
    <xf numFmtId="4" fontId="1" fillId="0" borderId="3" xfId="1" applyNumberFormat="1" applyFont="1" applyBorder="1"/>
    <xf numFmtId="4" fontId="2" fillId="4" borderId="3" xfId="0" quotePrefix="1" applyNumberFormat="1" applyFont="1" applyFill="1" applyBorder="1"/>
    <xf numFmtId="4" fontId="2" fillId="5" borderId="3" xfId="0" quotePrefix="1" applyNumberFormat="1" applyFont="1" applyFill="1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7" fillId="0" borderId="0" xfId="0" applyFont="1"/>
    <xf numFmtId="4" fontId="7" fillId="0" borderId="0" xfId="0" applyNumberFormat="1" applyFont="1"/>
    <xf numFmtId="0" fontId="0" fillId="0" borderId="0" xfId="0" applyFill="1"/>
    <xf numFmtId="4" fontId="0" fillId="0" borderId="0" xfId="0" applyNumberFormat="1" applyFill="1"/>
    <xf numFmtId="4" fontId="0" fillId="0" borderId="3" xfId="0" applyNumberFormat="1" applyFont="1" applyFill="1" applyBorder="1"/>
    <xf numFmtId="4" fontId="0" fillId="0" borderId="5" xfId="0" applyNumberFormat="1" applyFont="1" applyFill="1" applyBorder="1"/>
    <xf numFmtId="4" fontId="2" fillId="0" borderId="5" xfId="1" applyNumberFormat="1" applyFont="1" applyFill="1" applyBorder="1"/>
    <xf numFmtId="4" fontId="2" fillId="0" borderId="1" xfId="0" applyNumberFormat="1" applyFont="1" applyFill="1" applyBorder="1"/>
    <xf numFmtId="4" fontId="2" fillId="0" borderId="5" xfId="1" applyNumberFormat="1" applyFont="1" applyBorder="1"/>
    <xf numFmtId="4" fontId="0" fillId="12" borderId="29" xfId="0" applyNumberFormat="1" applyFont="1" applyFill="1" applyBorder="1"/>
    <xf numFmtId="4" fontId="0" fillId="12" borderId="5" xfId="0" applyNumberFormat="1" applyFont="1" applyFill="1" applyBorder="1"/>
    <xf numFmtId="4" fontId="0" fillId="12" borderId="13" xfId="0" applyNumberFormat="1" applyFont="1" applyFill="1" applyBorder="1"/>
    <xf numFmtId="4" fontId="0" fillId="12" borderId="19" xfId="0" applyNumberFormat="1" applyFont="1" applyFill="1" applyBorder="1"/>
    <xf numFmtId="4" fontId="0" fillId="0" borderId="13" xfId="0" applyNumberFormat="1" applyFont="1" applyBorder="1"/>
    <xf numFmtId="4" fontId="2" fillId="12" borderId="5" xfId="0" applyNumberFormat="1" applyFont="1" applyFill="1" applyBorder="1"/>
    <xf numFmtId="4" fontId="2" fillId="0" borderId="18" xfId="0" applyNumberFormat="1" applyFont="1" applyBorder="1"/>
    <xf numFmtId="4" fontId="2" fillId="12" borderId="18" xfId="1" applyNumberFormat="1" applyFont="1" applyFill="1" applyBorder="1"/>
    <xf numFmtId="4" fontId="0" fillId="4" borderId="3" xfId="0" quotePrefix="1" applyNumberFormat="1" applyFont="1" applyFill="1" applyBorder="1"/>
    <xf numFmtId="4" fontId="0" fillId="0" borderId="1" xfId="0" applyNumberFormat="1" applyFont="1" applyFill="1" applyBorder="1"/>
    <xf numFmtId="4" fontId="1" fillId="0" borderId="4" xfId="1" applyNumberFormat="1" applyFont="1" applyFill="1" applyBorder="1"/>
    <xf numFmtId="4" fontId="1" fillId="0" borderId="5" xfId="1" applyNumberFormat="1" applyFont="1" applyBorder="1"/>
    <xf numFmtId="4" fontId="1" fillId="0" borderId="5" xfId="1" applyNumberFormat="1" applyFont="1" applyFill="1" applyBorder="1"/>
    <xf numFmtId="4" fontId="1" fillId="5" borderId="5" xfId="1" applyNumberFormat="1" applyFont="1" applyFill="1" applyBorder="1"/>
    <xf numFmtId="4" fontId="1" fillId="4" borderId="4" xfId="1" applyNumberFormat="1" applyFont="1" applyFill="1" applyBorder="1"/>
    <xf numFmtId="4" fontId="1" fillId="7" borderId="4" xfId="1" applyNumberFormat="1" applyFont="1" applyFill="1" applyBorder="1"/>
    <xf numFmtId="4" fontId="1" fillId="0" borderId="4" xfId="1" applyNumberFormat="1" applyFont="1" applyBorder="1"/>
    <xf numFmtId="4" fontId="0" fillId="5" borderId="2" xfId="0" applyNumberFormat="1" applyFont="1" applyFill="1" applyBorder="1"/>
    <xf numFmtId="4" fontId="1" fillId="5" borderId="2" xfId="1" applyNumberFormat="1" applyFont="1" applyFill="1" applyBorder="1"/>
    <xf numFmtId="4" fontId="0" fillId="0" borderId="5" xfId="0" applyNumberFormat="1" applyFont="1" applyBorder="1"/>
    <xf numFmtId="0" fontId="7" fillId="0" borderId="0" xfId="0" applyFont="1"/>
    <xf numFmtId="4" fontId="7" fillId="0" borderId="0" xfId="0" applyNumberFormat="1" applyFont="1"/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4" fontId="2" fillId="4" borderId="1" xfId="0" applyNumberFormat="1" applyFont="1" applyFill="1" applyBorder="1"/>
    <xf numFmtId="4" fontId="2" fillId="0" borderId="5" xfId="0" applyNumberFormat="1" applyFont="1" applyFill="1" applyBorder="1" applyAlignment="1">
      <alignment horizontal="right"/>
    </xf>
    <xf numFmtId="43" fontId="2" fillId="0" borderId="0" xfId="0" applyNumberFormat="1" applyFont="1" applyFill="1"/>
    <xf numFmtId="4" fontId="0" fillId="5" borderId="1" xfId="0" applyNumberFormat="1" applyFont="1" applyFill="1" applyBorder="1"/>
    <xf numFmtId="0" fontId="0" fillId="0" borderId="0" xfId="0" applyAlignment="1">
      <alignment horizontal="right"/>
    </xf>
    <xf numFmtId="0" fontId="7" fillId="0" borderId="0" xfId="0" applyFont="1"/>
    <xf numFmtId="4" fontId="7" fillId="0" borderId="0" xfId="0" applyNumberFormat="1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7" fillId="0" borderId="0" xfId="0" applyFont="1"/>
    <xf numFmtId="4" fontId="7" fillId="0" borderId="0" xfId="0" applyNumberFormat="1" applyFont="1"/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/>
    <xf numFmtId="4" fontId="7" fillId="0" borderId="0" xfId="0" applyNumberFormat="1" applyFont="1"/>
    <xf numFmtId="4" fontId="2" fillId="0" borderId="20" xfId="0" applyNumberFormat="1" applyFont="1" applyFill="1" applyBorder="1"/>
    <xf numFmtId="4" fontId="0" fillId="0" borderId="21" xfId="0" applyNumberFormat="1" applyFill="1" applyBorder="1"/>
    <xf numFmtId="0" fontId="0" fillId="0" borderId="0" xfId="0" applyAlignment="1">
      <alignment horizontal="right"/>
    </xf>
    <xf numFmtId="0" fontId="7" fillId="0" borderId="0" xfId="0" applyFont="1"/>
    <xf numFmtId="4" fontId="7" fillId="0" borderId="0" xfId="0" applyNumberFormat="1" applyFont="1"/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/>
    <xf numFmtId="4" fontId="7" fillId="0" borderId="0" xfId="0" applyNumberFormat="1" applyFont="1"/>
    <xf numFmtId="4" fontId="2" fillId="0" borderId="3" xfId="0" applyNumberFormat="1" applyFont="1" applyFill="1" applyBorder="1"/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/>
    <xf numFmtId="4" fontId="7" fillId="0" borderId="0" xfId="0" applyNumberFormat="1" applyFont="1"/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/>
    <xf numFmtId="4" fontId="7" fillId="0" borderId="0" xfId="0" applyNumberFormat="1" applyFont="1"/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/>
    <xf numFmtId="4" fontId="7" fillId="0" borderId="0" xfId="0" applyNumberFormat="1" applyFont="1"/>
    <xf numFmtId="4" fontId="9" fillId="0" borderId="0" xfId="0" applyNumberFormat="1" applyFont="1"/>
    <xf numFmtId="0" fontId="0" fillId="0" borderId="0" xfId="0" applyAlignment="1">
      <alignment horizontal="right"/>
    </xf>
    <xf numFmtId="0" fontId="7" fillId="0" borderId="0" xfId="0" applyFont="1"/>
    <xf numFmtId="4" fontId="7" fillId="0" borderId="0" xfId="0" applyNumberFormat="1" applyFont="1"/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43" fontId="2" fillId="0" borderId="5" xfId="1" applyFont="1" applyFill="1" applyBorder="1"/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/>
    <xf numFmtId="4" fontId="7" fillId="0" borderId="0" xfId="0" applyNumberFormat="1" applyFont="1"/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/>
    <xf numFmtId="4" fontId="7" fillId="0" borderId="0" xfId="0" applyNumberFormat="1" applyFont="1"/>
    <xf numFmtId="4" fontId="2" fillId="0" borderId="20" xfId="0" applyNumberFormat="1" applyFont="1" applyBorder="1"/>
    <xf numFmtId="4" fontId="2" fillId="0" borderId="5" xfId="0" applyNumberFormat="1" applyFont="1" applyBorder="1"/>
    <xf numFmtId="43" fontId="2" fillId="0" borderId="0" xfId="0" applyNumberFormat="1" applyFont="1"/>
    <xf numFmtId="4" fontId="0" fillId="5" borderId="2" xfId="0" applyNumberFormat="1" applyFill="1" applyBorder="1"/>
    <xf numFmtId="4" fontId="2" fillId="0" borderId="5" xfId="0" applyNumberFormat="1" applyFont="1" applyBorder="1" applyAlignment="1">
      <alignment horizontal="right"/>
    </xf>
    <xf numFmtId="4" fontId="2" fillId="0" borderId="3" xfId="0" applyNumberFormat="1" applyFont="1" applyBorder="1"/>
    <xf numFmtId="0" fontId="12" fillId="0" borderId="0" xfId="0" applyFont="1"/>
    <xf numFmtId="0" fontId="13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4" fontId="12" fillId="11" borderId="0" xfId="0" applyNumberFormat="1" applyFont="1" applyFill="1" applyAlignment="1">
      <alignment horizontal="center"/>
    </xf>
    <xf numFmtId="164" fontId="12" fillId="0" borderId="0" xfId="0" applyNumberFormat="1" applyFont="1"/>
    <xf numFmtId="0" fontId="12" fillId="0" borderId="0" xfId="0" applyFont="1" applyAlignment="1">
      <alignment horizontal="center"/>
    </xf>
    <xf numFmtId="4" fontId="12" fillId="2" borderId="11" xfId="0" applyNumberFormat="1" applyFont="1" applyFill="1" applyBorder="1" applyAlignment="1">
      <alignment horizontal="center"/>
    </xf>
    <xf numFmtId="4" fontId="12" fillId="0" borderId="0" xfId="0" applyNumberFormat="1" applyFont="1" applyAlignment="1">
      <alignment horizontal="center"/>
    </xf>
    <xf numFmtId="4" fontId="13" fillId="4" borderId="2" xfId="0" applyNumberFormat="1" applyFont="1" applyFill="1" applyBorder="1"/>
    <xf numFmtId="4" fontId="13" fillId="7" borderId="2" xfId="1" applyNumberFormat="1" applyFont="1" applyFill="1" applyBorder="1"/>
    <xf numFmtId="4" fontId="12" fillId="4" borderId="2" xfId="1" applyNumberFormat="1" applyFont="1" applyFill="1" applyBorder="1"/>
    <xf numFmtId="4" fontId="12" fillId="0" borderId="0" xfId="1" applyNumberFormat="1" applyFont="1" applyFill="1" applyBorder="1"/>
    <xf numFmtId="4" fontId="12" fillId="0" borderId="0" xfId="0" applyNumberFormat="1" applyFont="1"/>
    <xf numFmtId="0" fontId="13" fillId="0" borderId="14" xfId="0" applyFont="1" applyBorder="1" applyAlignment="1">
      <alignment horizontal="left" indent="1"/>
    </xf>
    <xf numFmtId="0" fontId="12" fillId="0" borderId="25" xfId="0" applyFont="1" applyBorder="1" applyAlignment="1">
      <alignment horizontal="left"/>
    </xf>
    <xf numFmtId="4" fontId="12" fillId="4" borderId="3" xfId="0" quotePrefix="1" applyNumberFormat="1" applyFont="1" applyFill="1" applyBorder="1"/>
    <xf numFmtId="4" fontId="12" fillId="0" borderId="3" xfId="1" applyNumberFormat="1" applyFont="1" applyBorder="1"/>
    <xf numFmtId="4" fontId="12" fillId="0" borderId="1" xfId="0" applyNumberFormat="1" applyFont="1" applyFill="1" applyBorder="1"/>
    <xf numFmtId="4" fontId="12" fillId="0" borderId="4" xfId="1" applyNumberFormat="1" applyFont="1" applyFill="1" applyBorder="1"/>
    <xf numFmtId="4" fontId="12" fillId="0" borderId="0" xfId="1" applyNumberFormat="1" applyFont="1" applyFill="1" applyBorder="1" applyAlignment="1">
      <alignment wrapText="1"/>
    </xf>
    <xf numFmtId="0" fontId="13" fillId="3" borderId="14" xfId="0" applyFont="1" applyFill="1" applyBorder="1" applyAlignment="1">
      <alignment horizontal="left" indent="1"/>
    </xf>
    <xf numFmtId="0" fontId="12" fillId="11" borderId="26" xfId="0" applyFont="1" applyFill="1" applyBorder="1"/>
    <xf numFmtId="4" fontId="12" fillId="0" borderId="5" xfId="1" applyNumberFormat="1" applyFont="1" applyBorder="1"/>
    <xf numFmtId="4" fontId="13" fillId="0" borderId="5" xfId="1" applyNumberFormat="1" applyFont="1" applyBorder="1"/>
    <xf numFmtId="4" fontId="13" fillId="5" borderId="1" xfId="0" applyNumberFormat="1" applyFont="1" applyFill="1" applyBorder="1"/>
    <xf numFmtId="4" fontId="12" fillId="0" borderId="0" xfId="0" applyNumberFormat="1" applyFont="1" applyFill="1"/>
    <xf numFmtId="0" fontId="12" fillId="11" borderId="26" xfId="0" applyFont="1" applyFill="1" applyBorder="1" applyAlignment="1">
      <alignment horizontal="left"/>
    </xf>
    <xf numFmtId="4" fontId="12" fillId="6" borderId="0" xfId="0" applyNumberFormat="1" applyFont="1" applyFill="1"/>
    <xf numFmtId="4" fontId="13" fillId="0" borderId="5" xfId="1" applyNumberFormat="1" applyFont="1" applyFill="1" applyBorder="1"/>
    <xf numFmtId="4" fontId="14" fillId="0" borderId="0" xfId="0" applyNumberFormat="1" applyFont="1"/>
    <xf numFmtId="4" fontId="14" fillId="0" borderId="5" xfId="1" applyNumberFormat="1" applyFont="1" applyFill="1" applyBorder="1"/>
    <xf numFmtId="4" fontId="15" fillId="0" borderId="0" xfId="0" applyNumberFormat="1" applyFont="1"/>
    <xf numFmtId="4" fontId="12" fillId="0" borderId="5" xfId="1" applyNumberFormat="1" applyFont="1" applyFill="1" applyBorder="1"/>
    <xf numFmtId="4" fontId="13" fillId="4" borderId="1" xfId="0" applyNumberFormat="1" applyFont="1" applyFill="1" applyBorder="1"/>
    <xf numFmtId="0" fontId="12" fillId="3" borderId="26" xfId="0" applyFont="1" applyFill="1" applyBorder="1" applyAlignment="1">
      <alignment horizontal="left"/>
    </xf>
    <xf numFmtId="4" fontId="13" fillId="0" borderId="1" xfId="0" applyNumberFormat="1" applyFont="1" applyFill="1" applyBorder="1"/>
    <xf numFmtId="4" fontId="13" fillId="5" borderId="3" xfId="0" quotePrefix="1" applyNumberFormat="1" applyFont="1" applyFill="1" applyBorder="1"/>
    <xf numFmtId="4" fontId="13" fillId="5" borderId="5" xfId="1" applyNumberFormat="1" applyFont="1" applyFill="1" applyBorder="1"/>
    <xf numFmtId="4" fontId="12" fillId="4" borderId="4" xfId="1" applyNumberFormat="1" applyFont="1" applyFill="1" applyBorder="1"/>
    <xf numFmtId="0" fontId="12" fillId="0" borderId="12" xfId="0" applyFont="1" applyBorder="1"/>
    <xf numFmtId="0" fontId="12" fillId="0" borderId="27" xfId="0" applyFont="1" applyBorder="1" applyAlignment="1">
      <alignment horizontal="left"/>
    </xf>
    <xf numFmtId="4" fontId="13" fillId="4" borderId="3" xfId="0" quotePrefix="1" applyNumberFormat="1" applyFont="1" applyFill="1" applyBorder="1"/>
    <xf numFmtId="4" fontId="13" fillId="0" borderId="3" xfId="0" applyNumberFormat="1" applyFont="1" applyFill="1" applyBorder="1"/>
    <xf numFmtId="4" fontId="13" fillId="0" borderId="5" xfId="0" applyNumberFormat="1" applyFont="1" applyFill="1" applyBorder="1"/>
    <xf numFmtId="4" fontId="13" fillId="5" borderId="4" xfId="0" applyNumberFormat="1" applyFont="1" applyFill="1" applyBorder="1"/>
    <xf numFmtId="0" fontId="12" fillId="11" borderId="28" xfId="0" applyFont="1" applyFill="1" applyBorder="1" applyAlignment="1">
      <alignment horizontal="left"/>
    </xf>
    <xf numFmtId="4" fontId="12" fillId="7" borderId="4" xfId="1" applyNumberFormat="1" applyFont="1" applyFill="1" applyBorder="1"/>
    <xf numFmtId="4" fontId="12" fillId="0" borderId="4" xfId="1" applyNumberFormat="1" applyFont="1" applyBorder="1"/>
    <xf numFmtId="0" fontId="12" fillId="0" borderId="14" xfId="0" applyFont="1" applyBorder="1"/>
    <xf numFmtId="0" fontId="12" fillId="0" borderId="28" xfId="0" applyFont="1" applyBorder="1" applyAlignment="1">
      <alignment horizontal="left"/>
    </xf>
    <xf numFmtId="4" fontId="12" fillId="0" borderId="5" xfId="0" applyNumberFormat="1" applyFont="1" applyFill="1" applyBorder="1"/>
    <xf numFmtId="4" fontId="12" fillId="5" borderId="2" xfId="0" applyNumberFormat="1" applyFont="1" applyFill="1" applyBorder="1"/>
    <xf numFmtId="4" fontId="13" fillId="5" borderId="2" xfId="0" applyNumberFormat="1" applyFont="1" applyFill="1" applyBorder="1"/>
    <xf numFmtId="4" fontId="12" fillId="5" borderId="2" xfId="1" applyNumberFormat="1" applyFont="1" applyFill="1" applyBorder="1"/>
    <xf numFmtId="0" fontId="12" fillId="3" borderId="25" xfId="0" applyFont="1" applyFill="1" applyBorder="1" applyAlignment="1">
      <alignment horizontal="left"/>
    </xf>
    <xf numFmtId="4" fontId="12" fillId="0" borderId="3" xfId="0" applyNumberFormat="1" applyFont="1" applyFill="1" applyBorder="1"/>
    <xf numFmtId="4" fontId="13" fillId="4" borderId="3" xfId="0" applyNumberFormat="1" applyFont="1" applyFill="1" applyBorder="1"/>
    <xf numFmtId="9" fontId="12" fillId="0" borderId="0" xfId="2" applyFont="1"/>
    <xf numFmtId="0" fontId="12" fillId="0" borderId="26" xfId="0" applyFont="1" applyBorder="1"/>
    <xf numFmtId="4" fontId="13" fillId="0" borderId="5" xfId="0" applyNumberFormat="1" applyFont="1" applyFill="1" applyBorder="1" applyAlignment="1">
      <alignment horizontal="right"/>
    </xf>
    <xf numFmtId="4" fontId="12" fillId="0" borderId="5" xfId="0" applyNumberFormat="1" applyFont="1" applyBorder="1"/>
    <xf numFmtId="43" fontId="13" fillId="0" borderId="0" xfId="0" applyNumberFormat="1" applyFont="1" applyFill="1"/>
    <xf numFmtId="4" fontId="13" fillId="4" borderId="5" xfId="0" applyNumberFormat="1" applyFont="1" applyFill="1" applyBorder="1"/>
    <xf numFmtId="0" fontId="12" fillId="0" borderId="26" xfId="0" applyFont="1" applyBorder="1" applyAlignment="1">
      <alignment horizontal="left"/>
    </xf>
    <xf numFmtId="0" fontId="12" fillId="0" borderId="0" xfId="0" applyFont="1" applyFill="1"/>
    <xf numFmtId="4" fontId="13" fillId="4" borderId="20" xfId="0" applyNumberFormat="1" applyFont="1" applyFill="1" applyBorder="1"/>
    <xf numFmtId="4" fontId="13" fillId="0" borderId="20" xfId="0" applyNumberFormat="1" applyFont="1" applyFill="1" applyBorder="1"/>
    <xf numFmtId="4" fontId="13" fillId="9" borderId="20" xfId="0" applyNumberFormat="1" applyFont="1" applyFill="1" applyBorder="1"/>
    <xf numFmtId="4" fontId="12" fillId="4" borderId="21" xfId="0" applyNumberFormat="1" applyFont="1" applyFill="1" applyBorder="1"/>
    <xf numFmtId="44" fontId="12" fillId="0" borderId="0" xfId="0" applyNumberFormat="1" applyFont="1"/>
    <xf numFmtId="0" fontId="1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4" fontId="12" fillId="0" borderId="4" xfId="0" applyNumberFormat="1" applyFont="1" applyBorder="1"/>
    <xf numFmtId="0" fontId="13" fillId="5" borderId="7" xfId="0" applyFont="1" applyFill="1" applyBorder="1" applyAlignment="1">
      <alignment horizontal="right"/>
    </xf>
    <xf numFmtId="0" fontId="12" fillId="5" borderId="8" xfId="0" applyFont="1" applyFill="1" applyBorder="1" applyAlignment="1">
      <alignment horizontal="right"/>
    </xf>
    <xf numFmtId="4" fontId="12" fillId="5" borderId="20" xfId="0" applyNumberFormat="1" applyFont="1" applyFill="1" applyBorder="1"/>
    <xf numFmtId="4" fontId="12" fillId="5" borderId="21" xfId="0" applyNumberFormat="1" applyFont="1" applyFill="1" applyBorder="1"/>
    <xf numFmtId="4" fontId="12" fillId="5" borderId="22" xfId="0" applyNumberFormat="1" applyFont="1" applyFill="1" applyBorder="1"/>
    <xf numFmtId="0" fontId="13" fillId="0" borderId="0" xfId="0" applyFont="1"/>
    <xf numFmtId="4" fontId="12" fillId="0" borderId="0" xfId="0" applyNumberFormat="1" applyFont="1" applyAlignment="1">
      <alignment horizontal="right"/>
    </xf>
    <xf numFmtId="4" fontId="12" fillId="2" borderId="21" xfId="0" applyNumberFormat="1" applyFont="1" applyFill="1" applyBorder="1" applyAlignment="1">
      <alignment horizontal="center"/>
    </xf>
    <xf numFmtId="43" fontId="12" fillId="0" borderId="0" xfId="1" applyFont="1"/>
    <xf numFmtId="4" fontId="13" fillId="0" borderId="18" xfId="0" applyNumberFormat="1" applyFont="1" applyBorder="1"/>
    <xf numFmtId="4" fontId="13" fillId="12" borderId="18" xfId="1" applyNumberFormat="1" applyFont="1" applyFill="1" applyBorder="1"/>
    <xf numFmtId="4" fontId="13" fillId="12" borderId="18" xfId="0" applyNumberFormat="1" applyFont="1" applyFill="1" applyBorder="1"/>
    <xf numFmtId="4" fontId="13" fillId="12" borderId="29" xfId="0" applyNumberFormat="1" applyFont="1" applyFill="1" applyBorder="1"/>
    <xf numFmtId="4" fontId="12" fillId="12" borderId="29" xfId="0" applyNumberFormat="1" applyFont="1" applyFill="1" applyBorder="1"/>
    <xf numFmtId="166" fontId="12" fillId="0" borderId="0" xfId="0" applyNumberFormat="1" applyFont="1"/>
    <xf numFmtId="0" fontId="12" fillId="0" borderId="24" xfId="0" applyFont="1" applyBorder="1" applyAlignment="1">
      <alignment horizontal="left" indent="1"/>
    </xf>
    <xf numFmtId="0" fontId="12" fillId="0" borderId="1" xfId="0" applyFont="1" applyBorder="1" applyAlignment="1">
      <alignment horizontal="left" indent="1"/>
    </xf>
    <xf numFmtId="4" fontId="12" fillId="12" borderId="5" xfId="0" applyNumberFormat="1" applyFont="1" applyFill="1" applyBorder="1"/>
    <xf numFmtId="4" fontId="13" fillId="12" borderId="5" xfId="0" applyNumberFormat="1" applyFont="1" applyFill="1" applyBorder="1"/>
    <xf numFmtId="4" fontId="12" fillId="12" borderId="13" xfId="0" applyNumberFormat="1" applyFont="1" applyFill="1" applyBorder="1"/>
    <xf numFmtId="4" fontId="12" fillId="12" borderId="18" xfId="0" applyNumberFormat="1" applyFont="1" applyFill="1" applyBorder="1"/>
    <xf numFmtId="4" fontId="12" fillId="12" borderId="19" xfId="0" applyNumberFormat="1" applyFont="1" applyFill="1" applyBorder="1"/>
    <xf numFmtId="0" fontId="12" fillId="0" borderId="7" xfId="0" applyFont="1" applyBorder="1" applyAlignment="1">
      <alignment horizontal="left" indent="1"/>
    </xf>
    <xf numFmtId="0" fontId="12" fillId="0" borderId="23" xfId="0" applyFont="1" applyBorder="1" applyAlignment="1">
      <alignment horizontal="left" indent="1"/>
    </xf>
    <xf numFmtId="4" fontId="12" fillId="0" borderId="13" xfId="0" applyNumberFormat="1" applyFont="1" applyBorder="1"/>
    <xf numFmtId="4" fontId="12" fillId="0" borderId="20" xfId="0" applyNumberFormat="1" applyFont="1" applyBorder="1"/>
    <xf numFmtId="4" fontId="12" fillId="0" borderId="21" xfId="0" applyNumberFormat="1" applyFont="1" applyFill="1" applyBorder="1"/>
    <xf numFmtId="4" fontId="12" fillId="0" borderId="21" xfId="0" applyNumberFormat="1" applyFont="1" applyBorder="1"/>
    <xf numFmtId="4" fontId="12" fillId="9" borderId="22" xfId="0" applyNumberFormat="1" applyFont="1" applyFill="1" applyBorder="1"/>
    <xf numFmtId="165" fontId="12" fillId="0" borderId="0" xfId="0" applyNumberFormat="1" applyFont="1"/>
    <xf numFmtId="0" fontId="13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/>
    <xf numFmtId="4" fontId="12" fillId="0" borderId="0" xfId="0" applyNumberFormat="1" applyFont="1"/>
    <xf numFmtId="0" fontId="12" fillId="0" borderId="0" xfId="0" applyFont="1" applyAlignment="1">
      <alignment horizontal="right"/>
    </xf>
    <xf numFmtId="0" fontId="12" fillId="0" borderId="0" xfId="0" applyFont="1"/>
    <xf numFmtId="4" fontId="12" fillId="0" borderId="0" xfId="0" applyNumberFormat="1" applyFont="1"/>
    <xf numFmtId="0" fontId="13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/>
    <xf numFmtId="4" fontId="12" fillId="0" borderId="0" xfId="0" applyNumberFormat="1" applyFont="1"/>
    <xf numFmtId="0" fontId="13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/>
    <xf numFmtId="4" fontId="12" fillId="0" borderId="0" xfId="0" applyNumberFormat="1" applyFont="1"/>
    <xf numFmtId="0" fontId="13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/>
    <xf numFmtId="4" fontId="12" fillId="0" borderId="0" xfId="0" applyNumberFormat="1" applyFont="1"/>
    <xf numFmtId="0" fontId="13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/>
    <xf numFmtId="4" fontId="12" fillId="0" borderId="0" xfId="0" applyNumberFormat="1" applyFont="1"/>
    <xf numFmtId="0" fontId="12" fillId="0" borderId="0" xfId="0" applyFont="1" applyAlignment="1">
      <alignment horizontal="right"/>
    </xf>
    <xf numFmtId="0" fontId="12" fillId="0" borderId="0" xfId="0" applyFont="1"/>
    <xf numFmtId="4" fontId="12" fillId="0" borderId="0" xfId="0" applyNumberFormat="1" applyFont="1"/>
    <xf numFmtId="0" fontId="13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/>
    <xf numFmtId="4" fontId="12" fillId="0" borderId="0" xfId="0" applyNumberFormat="1" applyFont="1"/>
    <xf numFmtId="0" fontId="13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/>
    <xf numFmtId="4" fontId="12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2" fillId="0" borderId="18" xfId="0" applyFont="1" applyBorder="1"/>
    <xf numFmtId="4" fontId="13" fillId="6" borderId="5" xfId="0" applyNumberFormat="1" applyFont="1" applyFill="1" applyBorder="1"/>
    <xf numFmtId="43" fontId="13" fillId="6" borderId="0" xfId="0" applyNumberFormat="1" applyFont="1" applyFill="1"/>
    <xf numFmtId="0" fontId="12" fillId="0" borderId="0" xfId="0" applyFont="1" applyAlignment="1">
      <alignment horizontal="right"/>
    </xf>
    <xf numFmtId="0" fontId="12" fillId="0" borderId="0" xfId="0" applyFont="1"/>
    <xf numFmtId="4" fontId="12" fillId="0" borderId="0" xfId="0" applyNumberFormat="1" applyFont="1"/>
    <xf numFmtId="0" fontId="13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4" fontId="12" fillId="0" borderId="3" xfId="1" applyNumberFormat="1" applyFont="1" applyBorder="1" applyAlignment="1">
      <alignment horizontal="right"/>
    </xf>
    <xf numFmtId="2" fontId="12" fillId="0" borderId="18" xfId="0" applyNumberFormat="1" applyFont="1" applyBorder="1"/>
    <xf numFmtId="0" fontId="12" fillId="0" borderId="0" xfId="0" applyFont="1" applyAlignment="1">
      <alignment horizontal="right"/>
    </xf>
    <xf numFmtId="0" fontId="12" fillId="0" borderId="0" xfId="0" applyFont="1"/>
    <xf numFmtId="4" fontId="12" fillId="0" borderId="0" xfId="0" applyNumberFormat="1" applyFont="1"/>
    <xf numFmtId="0" fontId="13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/>
    <xf numFmtId="4" fontId="12" fillId="0" borderId="0" xfId="0" applyNumberFormat="1" applyFont="1"/>
    <xf numFmtId="0" fontId="13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/>
    <xf numFmtId="4" fontId="12" fillId="0" borderId="0" xfId="0" applyNumberFormat="1" applyFont="1"/>
    <xf numFmtId="0" fontId="13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/>
    <xf numFmtId="4" fontId="12" fillId="0" borderId="0" xfId="0" applyNumberFormat="1" applyFont="1"/>
    <xf numFmtId="0" fontId="13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12" fillId="0" borderId="0" xfId="0" applyFont="1"/>
    <xf numFmtId="4" fontId="12" fillId="0" borderId="0" xfId="0" applyNumberFormat="1" applyFont="1"/>
    <xf numFmtId="0" fontId="13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/>
    <xf numFmtId="4" fontId="12" fillId="0" borderId="0" xfId="0" applyNumberFormat="1" applyFont="1"/>
    <xf numFmtId="2" fontId="12" fillId="0" borderId="5" xfId="0" applyNumberFormat="1" applyFont="1" applyBorder="1"/>
    <xf numFmtId="4" fontId="13" fillId="0" borderId="31" xfId="0" applyNumberFormat="1" applyFont="1" applyFill="1" applyBorder="1"/>
    <xf numFmtId="4" fontId="13" fillId="4" borderId="31" xfId="0" applyNumberFormat="1" applyFont="1" applyFill="1" applyBorder="1"/>
    <xf numFmtId="4" fontId="13" fillId="4" borderId="2" xfId="0" quotePrefix="1" applyNumberFormat="1" applyFont="1" applyFill="1" applyBorder="1"/>
    <xf numFmtId="2" fontId="12" fillId="0" borderId="32" xfId="0" applyNumberFormat="1" applyFont="1" applyBorder="1"/>
    <xf numFmtId="0" fontId="13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/>
    <xf numFmtId="4" fontId="12" fillId="0" borderId="0" xfId="0" applyNumberFormat="1" applyFont="1"/>
    <xf numFmtId="0" fontId="13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/>
    <xf numFmtId="4" fontId="12" fillId="0" borderId="0" xfId="0" applyNumberFormat="1" applyFont="1"/>
    <xf numFmtId="0" fontId="13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/>
    <xf numFmtId="4" fontId="12" fillId="0" borderId="0" xfId="0" applyNumberFormat="1" applyFont="1"/>
    <xf numFmtId="0" fontId="13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/>
    <xf numFmtId="4" fontId="12" fillId="0" borderId="0" xfId="0" applyNumberFormat="1" applyFont="1"/>
    <xf numFmtId="0" fontId="13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/>
    <xf numFmtId="4" fontId="12" fillId="0" borderId="0" xfId="0" applyNumberFormat="1" applyFont="1"/>
    <xf numFmtId="0" fontId="13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/>
    <xf numFmtId="4" fontId="12" fillId="0" borderId="0" xfId="0" applyNumberFormat="1" applyFont="1"/>
    <xf numFmtId="44" fontId="12" fillId="0" borderId="0" xfId="7" applyFont="1"/>
    <xf numFmtId="0" fontId="12" fillId="0" borderId="0" xfId="0" applyFont="1" applyAlignment="1">
      <alignment horizontal="right"/>
    </xf>
    <xf numFmtId="0" fontId="12" fillId="0" borderId="0" xfId="0" applyFont="1"/>
    <xf numFmtId="4" fontId="12" fillId="0" borderId="0" xfId="0" applyNumberFormat="1" applyFont="1"/>
    <xf numFmtId="0" fontId="13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/>
    <xf numFmtId="4" fontId="12" fillId="0" borderId="0" xfId="0" applyNumberFormat="1" applyFont="1"/>
    <xf numFmtId="0" fontId="13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12" fillId="0" borderId="0" xfId="0" applyFont="1"/>
    <xf numFmtId="4" fontId="12" fillId="0" borderId="0" xfId="0" applyNumberFormat="1" applyFont="1"/>
    <xf numFmtId="0" fontId="12" fillId="0" borderId="0" xfId="0" applyFont="1"/>
    <xf numFmtId="0" fontId="18" fillId="0" borderId="0" xfId="0" applyFont="1" applyAlignment="1">
      <alignment horizontal="center"/>
    </xf>
    <xf numFmtId="0" fontId="19" fillId="0" borderId="0" xfId="0" applyFont="1"/>
    <xf numFmtId="4" fontId="19" fillId="11" borderId="0" xfId="0" applyNumberFormat="1" applyFont="1" applyFill="1" applyAlignment="1">
      <alignment horizontal="center"/>
    </xf>
    <xf numFmtId="164" fontId="19" fillId="0" borderId="0" xfId="0" applyNumberFormat="1" applyFont="1"/>
    <xf numFmtId="4" fontId="19" fillId="2" borderId="11" xfId="0" applyNumberFormat="1" applyFont="1" applyFill="1" applyBorder="1" applyAlignment="1">
      <alignment horizontal="center"/>
    </xf>
    <xf numFmtId="4" fontId="20" fillId="16" borderId="0" xfId="5" applyNumberFormat="1" applyFont="1" applyAlignment="1">
      <alignment horizontal="left"/>
    </xf>
    <xf numFmtId="4" fontId="18" fillId="4" borderId="2" xfId="0" applyNumberFormat="1" applyFont="1" applyFill="1" applyBorder="1"/>
    <xf numFmtId="4" fontId="18" fillId="7" borderId="2" xfId="1" applyNumberFormat="1" applyFont="1" applyFill="1" applyBorder="1"/>
    <xf numFmtId="4" fontId="19" fillId="4" borderId="2" xfId="1" applyNumberFormat="1" applyFont="1" applyFill="1" applyBorder="1"/>
    <xf numFmtId="4" fontId="19" fillId="19" borderId="33" xfId="8" applyNumberFormat="1" applyFont="1" applyAlignment="1">
      <alignment horizontal="left"/>
    </xf>
    <xf numFmtId="0" fontId="18" fillId="0" borderId="14" xfId="0" applyFont="1" applyBorder="1" applyAlignment="1">
      <alignment horizontal="left" indent="1"/>
    </xf>
    <xf numFmtId="0" fontId="19" fillId="0" borderId="25" xfId="0" applyFont="1" applyBorder="1" applyAlignment="1">
      <alignment horizontal="left"/>
    </xf>
    <xf numFmtId="4" fontId="19" fillId="4" borderId="3" xfId="0" quotePrefix="1" applyNumberFormat="1" applyFont="1" applyFill="1" applyBorder="1"/>
    <xf numFmtId="4" fontId="19" fillId="0" borderId="3" xfId="1" applyNumberFormat="1" applyFont="1" applyBorder="1"/>
    <xf numFmtId="4" fontId="19" fillId="0" borderId="3" xfId="1" applyNumberFormat="1" applyFont="1" applyBorder="1" applyAlignment="1">
      <alignment horizontal="right"/>
    </xf>
    <xf numFmtId="4" fontId="19" fillId="0" borderId="1" xfId="0" applyNumberFormat="1" applyFont="1" applyFill="1" applyBorder="1"/>
    <xf numFmtId="4" fontId="19" fillId="0" borderId="4" xfId="1" applyNumberFormat="1" applyFont="1" applyFill="1" applyBorder="1"/>
    <xf numFmtId="4" fontId="19" fillId="20" borderId="0" xfId="1" applyNumberFormat="1" applyFont="1" applyFill="1" applyBorder="1" applyAlignment="1">
      <alignment wrapText="1"/>
    </xf>
    <xf numFmtId="0" fontId="18" fillId="3" borderId="14" xfId="0" applyFont="1" applyFill="1" applyBorder="1" applyAlignment="1">
      <alignment horizontal="left" indent="1"/>
    </xf>
    <xf numFmtId="0" fontId="19" fillId="11" borderId="26" xfId="0" applyFont="1" applyFill="1" applyBorder="1"/>
    <xf numFmtId="4" fontId="19" fillId="0" borderId="5" xfId="1" applyNumberFormat="1" applyFont="1" applyBorder="1"/>
    <xf numFmtId="4" fontId="18" fillId="5" borderId="1" xfId="0" applyNumberFormat="1" applyFont="1" applyFill="1" applyBorder="1"/>
    <xf numFmtId="4" fontId="19" fillId="0" borderId="0" xfId="1" applyNumberFormat="1" applyFont="1" applyFill="1" applyBorder="1"/>
    <xf numFmtId="0" fontId="19" fillId="11" borderId="26" xfId="0" applyFont="1" applyFill="1" applyBorder="1" applyAlignment="1">
      <alignment horizontal="left"/>
    </xf>
    <xf numFmtId="4" fontId="18" fillId="0" borderId="5" xfId="1" applyNumberFormat="1" applyFont="1" applyFill="1" applyBorder="1"/>
    <xf numFmtId="4" fontId="21" fillId="0" borderId="5" xfId="1" applyNumberFormat="1" applyFont="1" applyFill="1" applyBorder="1"/>
    <xf numFmtId="4" fontId="19" fillId="0" borderId="5" xfId="1" applyNumberFormat="1" applyFont="1" applyFill="1" applyBorder="1"/>
    <xf numFmtId="4" fontId="18" fillId="4" borderId="1" xfId="0" applyNumberFormat="1" applyFont="1" applyFill="1" applyBorder="1"/>
    <xf numFmtId="0" fontId="19" fillId="3" borderId="26" xfId="0" applyFont="1" applyFill="1" applyBorder="1" applyAlignment="1">
      <alignment horizontal="left"/>
    </xf>
    <xf numFmtId="4" fontId="18" fillId="0" borderId="1" xfId="0" applyNumberFormat="1" applyFont="1" applyFill="1" applyBorder="1"/>
    <xf numFmtId="4" fontId="18" fillId="5" borderId="3" xfId="0" quotePrefix="1" applyNumberFormat="1" applyFont="1" applyFill="1" applyBorder="1"/>
    <xf numFmtId="4" fontId="18" fillId="5" borderId="5" xfId="1" applyNumberFormat="1" applyFont="1" applyFill="1" applyBorder="1"/>
    <xf numFmtId="4" fontId="19" fillId="4" borderId="4" xfId="1" applyNumberFormat="1" applyFont="1" applyFill="1" applyBorder="1"/>
    <xf numFmtId="0" fontId="19" fillId="0" borderId="12" xfId="0" applyFont="1" applyBorder="1"/>
    <xf numFmtId="0" fontId="19" fillId="0" borderId="27" xfId="0" applyFont="1" applyBorder="1" applyAlignment="1">
      <alignment horizontal="left"/>
    </xf>
    <xf numFmtId="4" fontId="18" fillId="4" borderId="3" xfId="0" quotePrefix="1" applyNumberFormat="1" applyFont="1" applyFill="1" applyBorder="1"/>
    <xf numFmtId="4" fontId="18" fillId="0" borderId="3" xfId="0" applyNumberFormat="1" applyFont="1" applyFill="1" applyBorder="1"/>
    <xf numFmtId="4" fontId="18" fillId="0" borderId="5" xfId="0" applyNumberFormat="1" applyFont="1" applyFill="1" applyBorder="1"/>
    <xf numFmtId="4" fontId="18" fillId="5" borderId="4" xfId="0" applyNumberFormat="1" applyFont="1" applyFill="1" applyBorder="1"/>
    <xf numFmtId="4" fontId="19" fillId="0" borderId="0" xfId="1" applyNumberFormat="1" applyFont="1" applyFill="1" applyBorder="1" applyAlignment="1">
      <alignment horizontal="left"/>
    </xf>
    <xf numFmtId="0" fontId="19" fillId="11" borderId="28" xfId="0" applyFont="1" applyFill="1" applyBorder="1" applyAlignment="1">
      <alignment horizontal="left"/>
    </xf>
    <xf numFmtId="44" fontId="19" fillId="0" borderId="0" xfId="7" applyFont="1"/>
    <xf numFmtId="0" fontId="19" fillId="0" borderId="28" xfId="0" applyFont="1" applyFill="1" applyBorder="1" applyAlignment="1">
      <alignment horizontal="left"/>
    </xf>
    <xf numFmtId="4" fontId="19" fillId="0" borderId="4" xfId="1" applyNumberFormat="1" applyFont="1" applyBorder="1"/>
    <xf numFmtId="0" fontId="19" fillId="0" borderId="14" xfId="0" applyFont="1" applyBorder="1"/>
    <xf numFmtId="0" fontId="19" fillId="0" borderId="28" xfId="0" applyFont="1" applyBorder="1" applyAlignment="1">
      <alignment horizontal="left"/>
    </xf>
    <xf numFmtId="4" fontId="19" fillId="0" borderId="5" xfId="0" applyNumberFormat="1" applyFont="1" applyFill="1" applyBorder="1"/>
    <xf numFmtId="4" fontId="19" fillId="5" borderId="2" xfId="0" applyNumberFormat="1" applyFont="1" applyFill="1" applyBorder="1"/>
    <xf numFmtId="4" fontId="18" fillId="5" borderId="2" xfId="0" applyNumberFormat="1" applyFont="1" applyFill="1" applyBorder="1"/>
    <xf numFmtId="4" fontId="19" fillId="5" borderId="2" xfId="1" applyNumberFormat="1" applyFont="1" applyFill="1" applyBorder="1"/>
    <xf numFmtId="0" fontId="19" fillId="3" borderId="25" xfId="0" applyFont="1" applyFill="1" applyBorder="1" applyAlignment="1">
      <alignment horizontal="left"/>
    </xf>
    <xf numFmtId="4" fontId="19" fillId="0" borderId="3" xfId="0" applyNumberFormat="1" applyFont="1" applyFill="1" applyBorder="1"/>
    <xf numFmtId="4" fontId="18" fillId="4" borderId="3" xfId="0" applyNumberFormat="1" applyFont="1" applyFill="1" applyBorder="1"/>
    <xf numFmtId="0" fontId="19" fillId="0" borderId="26" xfId="0" applyFont="1" applyBorder="1"/>
    <xf numFmtId="4" fontId="18" fillId="0" borderId="5" xfId="0" applyNumberFormat="1" applyFont="1" applyFill="1" applyBorder="1" applyAlignment="1">
      <alignment horizontal="right"/>
    </xf>
    <xf numFmtId="4" fontId="19" fillId="0" borderId="5" xfId="0" applyNumberFormat="1" applyFont="1" applyBorder="1"/>
    <xf numFmtId="43" fontId="18" fillId="0" borderId="0" xfId="0" applyNumberFormat="1" applyFont="1" applyFill="1"/>
    <xf numFmtId="4" fontId="18" fillId="4" borderId="5" xfId="0" applyNumberFormat="1" applyFont="1" applyFill="1" applyBorder="1"/>
    <xf numFmtId="0" fontId="19" fillId="0" borderId="26" xfId="0" applyFont="1" applyBorder="1" applyAlignment="1">
      <alignment horizontal="left"/>
    </xf>
    <xf numFmtId="2" fontId="19" fillId="0" borderId="5" xfId="0" applyNumberFormat="1" applyFont="1" applyBorder="1"/>
    <xf numFmtId="4" fontId="18" fillId="4" borderId="4" xfId="0" quotePrefix="1" applyNumberFormat="1" applyFont="1" applyFill="1" applyBorder="1"/>
    <xf numFmtId="43" fontId="19" fillId="0" borderId="4" xfId="1" applyFont="1" applyBorder="1"/>
    <xf numFmtId="0" fontId="19" fillId="11" borderId="0" xfId="0" applyFont="1" applyFill="1"/>
    <xf numFmtId="2" fontId="19" fillId="0" borderId="4" xfId="0" applyNumberFormat="1" applyFont="1" applyBorder="1"/>
    <xf numFmtId="4" fontId="18" fillId="4" borderId="31" xfId="0" applyNumberFormat="1" applyFont="1" applyFill="1" applyBorder="1"/>
    <xf numFmtId="4" fontId="18" fillId="0" borderId="31" xfId="0" applyNumberFormat="1" applyFont="1" applyFill="1" applyBorder="1"/>
    <xf numFmtId="4" fontId="18" fillId="0" borderId="20" xfId="0" applyNumberFormat="1" applyFont="1" applyFill="1" applyBorder="1"/>
    <xf numFmtId="4" fontId="18" fillId="9" borderId="20" xfId="0" applyNumberFormat="1" applyFont="1" applyFill="1" applyBorder="1"/>
    <xf numFmtId="4" fontId="19" fillId="4" borderId="21" xfId="0" applyNumberFormat="1" applyFont="1" applyFill="1" applyBorder="1"/>
    <xf numFmtId="4" fontId="19" fillId="0" borderId="0" xfId="0" applyNumberFormat="1" applyFont="1"/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4" fontId="19" fillId="0" borderId="4" xfId="0" applyNumberFormat="1" applyFont="1" applyBorder="1"/>
    <xf numFmtId="0" fontId="18" fillId="5" borderId="7" xfId="0" applyFont="1" applyFill="1" applyBorder="1" applyAlignment="1">
      <alignment horizontal="right"/>
    </xf>
    <xf numFmtId="0" fontId="19" fillId="5" borderId="8" xfId="0" applyFont="1" applyFill="1" applyBorder="1" applyAlignment="1">
      <alignment horizontal="right"/>
    </xf>
    <xf numFmtId="4" fontId="19" fillId="5" borderId="20" xfId="0" applyNumberFormat="1" applyFont="1" applyFill="1" applyBorder="1"/>
    <xf numFmtId="4" fontId="19" fillId="5" borderId="21" xfId="0" applyNumberFormat="1" applyFont="1" applyFill="1" applyBorder="1"/>
    <xf numFmtId="4" fontId="19" fillId="5" borderId="22" xfId="0" applyNumberFormat="1" applyFont="1" applyFill="1" applyBorder="1"/>
    <xf numFmtId="0" fontId="18" fillId="0" borderId="0" xfId="0" applyFont="1"/>
    <xf numFmtId="4" fontId="19" fillId="0" borderId="0" xfId="0" applyNumberFormat="1" applyFont="1" applyAlignment="1">
      <alignment horizontal="right"/>
    </xf>
    <xf numFmtId="4" fontId="19" fillId="2" borderId="21" xfId="0" applyNumberFormat="1" applyFont="1" applyFill="1" applyBorder="1" applyAlignment="1">
      <alignment horizontal="center"/>
    </xf>
    <xf numFmtId="4" fontId="19" fillId="0" borderId="0" xfId="0" applyNumberFormat="1" applyFont="1" applyAlignment="1">
      <alignment horizontal="center"/>
    </xf>
    <xf numFmtId="44" fontId="19" fillId="0" borderId="0" xfId="0" applyNumberFormat="1" applyFont="1"/>
    <xf numFmtId="4" fontId="18" fillId="0" borderId="18" xfId="0" applyNumberFormat="1" applyFont="1" applyBorder="1"/>
    <xf numFmtId="4" fontId="18" fillId="12" borderId="18" xfId="1" applyNumberFormat="1" applyFont="1" applyFill="1" applyBorder="1"/>
    <xf numFmtId="4" fontId="18" fillId="12" borderId="18" xfId="0" applyNumberFormat="1" applyFont="1" applyFill="1" applyBorder="1"/>
    <xf numFmtId="4" fontId="18" fillId="12" borderId="29" xfId="0" applyNumberFormat="1" applyFont="1" applyFill="1" applyBorder="1"/>
    <xf numFmtId="166" fontId="19" fillId="0" borderId="0" xfId="0" applyNumberFormat="1" applyFont="1"/>
    <xf numFmtId="0" fontId="19" fillId="0" borderId="24" xfId="0" applyFont="1" applyBorder="1" applyAlignment="1">
      <alignment horizontal="left" indent="1"/>
    </xf>
    <xf numFmtId="0" fontId="19" fillId="0" borderId="1" xfId="0" applyFont="1" applyBorder="1" applyAlignment="1">
      <alignment horizontal="left" indent="1"/>
    </xf>
    <xf numFmtId="4" fontId="19" fillId="12" borderId="5" xfId="0" applyNumberFormat="1" applyFont="1" applyFill="1" applyBorder="1"/>
    <xf numFmtId="4" fontId="18" fillId="12" borderId="5" xfId="0" applyNumberFormat="1" applyFont="1" applyFill="1" applyBorder="1"/>
    <xf numFmtId="43" fontId="19" fillId="0" borderId="0" xfId="0" applyNumberFormat="1" applyFont="1"/>
    <xf numFmtId="4" fontId="19" fillId="12" borderId="18" xfId="0" applyNumberFormat="1" applyFont="1" applyFill="1" applyBorder="1"/>
    <xf numFmtId="0" fontId="19" fillId="0" borderId="7" xfId="0" applyFont="1" applyBorder="1" applyAlignment="1">
      <alignment horizontal="left" indent="1"/>
    </xf>
    <xf numFmtId="0" fontId="19" fillId="0" borderId="23" xfId="0" applyFont="1" applyBorder="1" applyAlignment="1">
      <alignment horizontal="left" indent="1"/>
    </xf>
    <xf numFmtId="4" fontId="19" fillId="0" borderId="20" xfId="0" applyNumberFormat="1" applyFont="1" applyBorder="1"/>
    <xf numFmtId="4" fontId="19" fillId="0" borderId="21" xfId="0" applyNumberFormat="1" applyFont="1" applyFill="1" applyBorder="1"/>
    <xf numFmtId="0" fontId="12" fillId="0" borderId="0" xfId="0" applyFont="1"/>
    <xf numFmtId="4" fontId="12" fillId="0" borderId="0" xfId="0" applyNumberFormat="1" applyFont="1"/>
    <xf numFmtId="0" fontId="19" fillId="0" borderId="0" xfId="0" applyFont="1" applyAlignment="1">
      <alignment horizontal="right"/>
    </xf>
    <xf numFmtId="0" fontId="19" fillId="0" borderId="0" xfId="0" applyFont="1"/>
    <xf numFmtId="4" fontId="19" fillId="0" borderId="0" xfId="0" applyNumberFormat="1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4" fontId="18" fillId="4" borderId="34" xfId="0" quotePrefix="1" applyNumberFormat="1" applyFont="1" applyFill="1" applyBorder="1"/>
    <xf numFmtId="4" fontId="18" fillId="0" borderId="35" xfId="0" applyNumberFormat="1" applyFont="1" applyFill="1" applyBorder="1"/>
    <xf numFmtId="0" fontId="12" fillId="0" borderId="0" xfId="0" applyFont="1"/>
    <xf numFmtId="4" fontId="12" fillId="0" borderId="0" xfId="0" applyNumberFormat="1" applyFont="1"/>
    <xf numFmtId="0" fontId="19" fillId="0" borderId="0" xfId="0" applyFont="1" applyAlignment="1">
      <alignment horizontal="right"/>
    </xf>
    <xf numFmtId="0" fontId="19" fillId="0" borderId="0" xfId="0" applyFont="1"/>
    <xf numFmtId="4" fontId="19" fillId="0" borderId="0" xfId="0" applyNumberFormat="1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2" fillId="0" borderId="0" xfId="0" applyFont="1"/>
    <xf numFmtId="4" fontId="12" fillId="0" borderId="0" xfId="0" applyNumberFormat="1" applyFont="1"/>
    <xf numFmtId="0" fontId="19" fillId="0" borderId="0" xfId="0" applyFont="1" applyAlignment="1">
      <alignment horizontal="right"/>
    </xf>
    <xf numFmtId="0" fontId="19" fillId="0" borderId="0" xfId="0" applyFont="1"/>
    <xf numFmtId="4" fontId="19" fillId="0" borderId="0" xfId="0" applyNumberFormat="1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2" fillId="0" borderId="0" xfId="0" applyFont="1"/>
    <xf numFmtId="4" fontId="12" fillId="0" borderId="0" xfId="0" applyNumberFormat="1" applyFont="1"/>
    <xf numFmtId="0" fontId="19" fillId="0" borderId="0" xfId="0" applyFont="1" applyAlignment="1">
      <alignment horizontal="right"/>
    </xf>
    <xf numFmtId="0" fontId="19" fillId="0" borderId="0" xfId="0" applyFont="1"/>
    <xf numFmtId="4" fontId="19" fillId="0" borderId="0" xfId="0" applyNumberFormat="1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2" fillId="0" borderId="0" xfId="0" applyFont="1"/>
    <xf numFmtId="4" fontId="12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9" fillId="0" borderId="0" xfId="0" applyFont="1"/>
    <xf numFmtId="4" fontId="19" fillId="0" borderId="0" xfId="0" applyNumberFormat="1" applyFont="1"/>
    <xf numFmtId="0" fontId="18" fillId="3" borderId="0" xfId="0" applyFont="1" applyFill="1" applyBorder="1" applyAlignment="1">
      <alignment horizontal="left" indent="1"/>
    </xf>
    <xf numFmtId="0" fontId="19" fillId="3" borderId="0" xfId="0" applyFont="1" applyFill="1" applyBorder="1" applyAlignment="1">
      <alignment horizontal="left"/>
    </xf>
    <xf numFmtId="0" fontId="12" fillId="0" borderId="0" xfId="0" applyFont="1"/>
    <xf numFmtId="4" fontId="12" fillId="0" borderId="0" xfId="0" applyNumberFormat="1" applyFont="1"/>
    <xf numFmtId="0" fontId="19" fillId="0" borderId="0" xfId="0" applyFont="1" applyAlignment="1">
      <alignment horizontal="right"/>
    </xf>
    <xf numFmtId="0" fontId="19" fillId="0" borderId="0" xfId="0" applyFont="1"/>
    <xf numFmtId="4" fontId="19" fillId="0" borderId="0" xfId="0" applyNumberFormat="1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2" fillId="0" borderId="0" xfId="0" applyFont="1"/>
    <xf numFmtId="4" fontId="12" fillId="0" borderId="0" xfId="0" applyNumberFormat="1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9" fillId="0" borderId="0" xfId="0" applyFont="1"/>
    <xf numFmtId="4" fontId="19" fillId="0" borderId="0" xfId="0" applyNumberFormat="1" applyFont="1"/>
    <xf numFmtId="4" fontId="13" fillId="4" borderId="4" xfId="0" quotePrefix="1" applyNumberFormat="1" applyFont="1" applyFill="1" applyBorder="1"/>
    <xf numFmtId="2" fontId="12" fillId="0" borderId="4" xfId="0" applyNumberFormat="1" applyFont="1" applyBorder="1"/>
    <xf numFmtId="0" fontId="12" fillId="0" borderId="0" xfId="0" applyFont="1"/>
    <xf numFmtId="4" fontId="12" fillId="0" borderId="0" xfId="0" applyNumberFormat="1" applyFont="1"/>
    <xf numFmtId="0" fontId="19" fillId="0" borderId="0" xfId="0" applyFont="1" applyAlignment="1">
      <alignment horizontal="right"/>
    </xf>
    <xf numFmtId="0" fontId="19" fillId="0" borderId="0" xfId="0" applyFont="1"/>
    <xf numFmtId="4" fontId="19" fillId="0" borderId="0" xfId="0" applyNumberFormat="1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2" fillId="0" borderId="0" xfId="0" applyFont="1"/>
    <xf numFmtId="4" fontId="12" fillId="0" borderId="0" xfId="0" applyNumberFormat="1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9" fillId="0" borderId="0" xfId="0" applyFont="1"/>
    <xf numFmtId="4" fontId="19" fillId="0" borderId="0" xfId="0" applyNumberFormat="1" applyFont="1"/>
    <xf numFmtId="0" fontId="12" fillId="0" borderId="0" xfId="0" applyFont="1"/>
    <xf numFmtId="4" fontId="19" fillId="0" borderId="0" xfId="0" applyNumberFormat="1" applyFont="1"/>
    <xf numFmtId="0" fontId="19" fillId="0" borderId="14" xfId="0" applyFont="1" applyBorder="1" applyAlignment="1">
      <alignment horizontal="left" indent="1"/>
    </xf>
    <xf numFmtId="0" fontId="19" fillId="0" borderId="4" xfId="0" applyFont="1" applyBorder="1" applyAlignment="1">
      <alignment horizontal="left" indent="1"/>
    </xf>
    <xf numFmtId="0" fontId="12" fillId="0" borderId="0" xfId="0" applyFont="1"/>
    <xf numFmtId="4" fontId="12" fillId="0" borderId="0" xfId="0" applyNumberFormat="1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9" fillId="0" borderId="0" xfId="0" applyFont="1"/>
    <xf numFmtId="4" fontId="19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9" fillId="0" borderId="0" xfId="0" applyFont="1"/>
    <xf numFmtId="4" fontId="19" fillId="0" borderId="0" xfId="0" applyNumberFormat="1" applyFont="1"/>
    <xf numFmtId="4" fontId="23" fillId="0" borderId="3" xfId="10" quotePrefix="1" applyNumberFormat="1" applyFont="1" applyFill="1" applyBorder="1"/>
    <xf numFmtId="4" fontId="22" fillId="0" borderId="5" xfId="10" applyNumberFormat="1" applyFill="1" applyBorder="1"/>
    <xf numFmtId="4" fontId="22" fillId="0" borderId="0" xfId="10" applyNumberFormat="1" applyFill="1" applyBorder="1"/>
    <xf numFmtId="4" fontId="23" fillId="0" borderId="5" xfId="10" applyNumberFormat="1" applyFont="1" applyFill="1" applyBorder="1"/>
    <xf numFmtId="43" fontId="23" fillId="0" borderId="0" xfId="10" applyNumberFormat="1" applyFont="1" applyFill="1"/>
    <xf numFmtId="4" fontId="23" fillId="0" borderId="0" xfId="10" applyNumberFormat="1" applyFont="1" applyFill="1" applyBorder="1"/>
    <xf numFmtId="4" fontId="23" fillId="24" borderId="3" xfId="10" quotePrefix="1" applyNumberFormat="1" applyFont="1" applyFill="1" applyBorder="1"/>
    <xf numFmtId="4" fontId="23" fillId="24" borderId="5" xfId="10" applyNumberFormat="1" applyFont="1" applyFill="1" applyBorder="1"/>
    <xf numFmtId="0" fontId="12" fillId="0" borderId="0" xfId="0" applyFont="1"/>
    <xf numFmtId="43" fontId="21" fillId="0" borderId="0" xfId="10" applyNumberFormat="1" applyFont="1" applyFill="1"/>
    <xf numFmtId="4" fontId="5" fillId="0" borderId="3" xfId="1" applyNumberFormat="1" applyFont="1" applyBorder="1" applyAlignment="1">
      <alignment horizontal="right"/>
    </xf>
    <xf numFmtId="0" fontId="12" fillId="0" borderId="0" xfId="0" applyFont="1"/>
    <xf numFmtId="4" fontId="12" fillId="0" borderId="0" xfId="0" applyNumberFormat="1" applyFont="1"/>
    <xf numFmtId="0" fontId="19" fillId="0" borderId="0" xfId="0" applyFont="1" applyAlignment="1">
      <alignment horizontal="right"/>
    </xf>
    <xf numFmtId="0" fontId="19" fillId="0" borderId="0" xfId="0" applyFont="1"/>
    <xf numFmtId="4" fontId="19" fillId="0" borderId="0" xfId="0" applyNumberFormat="1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2" fillId="0" borderId="0" xfId="0" applyFont="1"/>
    <xf numFmtId="4" fontId="12" fillId="0" borderId="0" xfId="0" applyNumberFormat="1" applyFont="1"/>
    <xf numFmtId="0" fontId="19" fillId="0" borderId="0" xfId="0" applyFont="1" applyAlignment="1">
      <alignment horizontal="right"/>
    </xf>
    <xf numFmtId="0" fontId="19" fillId="0" borderId="0" xfId="0" applyFont="1"/>
    <xf numFmtId="4" fontId="19" fillId="0" borderId="0" xfId="0" applyNumberFormat="1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2" fillId="0" borderId="0" xfId="0" applyFont="1"/>
    <xf numFmtId="4" fontId="12" fillId="0" borderId="0" xfId="0" applyNumberFormat="1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9" fillId="0" borderId="0" xfId="0" applyFont="1"/>
    <xf numFmtId="4" fontId="19" fillId="0" borderId="0" xfId="0" applyNumberFormat="1" applyFont="1"/>
    <xf numFmtId="2" fontId="19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9" fillId="0" borderId="0" xfId="0" applyFont="1" applyAlignment="1">
      <alignment horizontal="right"/>
    </xf>
    <xf numFmtId="0" fontId="19" fillId="0" borderId="0" xfId="0" applyFont="1"/>
    <xf numFmtId="4" fontId="19" fillId="0" borderId="0" xfId="0" applyNumberFormat="1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2" fillId="0" borderId="0" xfId="0" applyFont="1"/>
    <xf numFmtId="4" fontId="12" fillId="0" borderId="0" xfId="0" applyNumberFormat="1" applyFont="1"/>
    <xf numFmtId="0" fontId="19" fillId="0" borderId="0" xfId="0" applyFont="1" applyAlignment="1">
      <alignment horizontal="right"/>
    </xf>
    <xf numFmtId="0" fontId="19" fillId="0" borderId="0" xfId="0" applyFont="1"/>
    <xf numFmtId="4" fontId="19" fillId="0" borderId="0" xfId="0" applyNumberFormat="1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2" fillId="0" borderId="0" xfId="0" applyFont="1"/>
    <xf numFmtId="4" fontId="12" fillId="0" borderId="0" xfId="0" applyNumberFormat="1" applyFont="1"/>
    <xf numFmtId="4" fontId="9" fillId="0" borderId="0" xfId="10" applyNumberFormat="1" applyFont="1" applyFill="1" applyBorder="1"/>
    <xf numFmtId="0" fontId="12" fillId="0" borderId="0" xfId="0" applyFont="1"/>
    <xf numFmtId="4" fontId="12" fillId="0" borderId="0" xfId="0" applyNumberFormat="1" applyFont="1"/>
    <xf numFmtId="0" fontId="19" fillId="0" borderId="0" xfId="0" applyFont="1" applyAlignment="1">
      <alignment horizontal="right"/>
    </xf>
    <xf numFmtId="0" fontId="19" fillId="0" borderId="0" xfId="0" applyFont="1"/>
    <xf numFmtId="4" fontId="19" fillId="0" borderId="0" xfId="0" applyNumberFormat="1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43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/>
    <xf numFmtId="4" fontId="7" fillId="0" borderId="0" xfId="0" applyNumberFormat="1" applyFont="1"/>
    <xf numFmtId="0" fontId="0" fillId="0" borderId="16" xfId="0" applyBorder="1" applyAlignment="1">
      <alignment horizontal="left" indent="1"/>
    </xf>
    <xf numFmtId="0" fontId="0" fillId="0" borderId="17" xfId="0" applyBorder="1" applyAlignment="1">
      <alignment horizontal="left" indent="1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2" fillId="2" borderId="9" xfId="0" applyFont="1" applyFill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4" borderId="24" xfId="0" applyFont="1" applyFill="1" applyBorder="1" applyAlignment="1">
      <alignment horizontal="left" indent="1"/>
    </xf>
    <xf numFmtId="0" fontId="2" fillId="4" borderId="1" xfId="0" applyFont="1" applyFill="1" applyBorder="1" applyAlignment="1">
      <alignment horizontal="left" indent="1"/>
    </xf>
    <xf numFmtId="0" fontId="2" fillId="4" borderId="1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2" fillId="0" borderId="0" xfId="0" applyFont="1" applyAlignment="1">
      <alignment horizontal="right"/>
    </xf>
    <xf numFmtId="0" fontId="2" fillId="2" borderId="7" xfId="0" applyFont="1" applyFill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0" fillId="0" borderId="15" xfId="0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2" fillId="0" borderId="16" xfId="0" applyFont="1" applyBorder="1" applyAlignment="1">
      <alignment horizontal="left" indent="1"/>
    </xf>
    <xf numFmtId="0" fontId="12" fillId="0" borderId="17" xfId="0" applyFont="1" applyBorder="1" applyAlignment="1">
      <alignment horizontal="left" indent="1"/>
    </xf>
    <xf numFmtId="0" fontId="13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3" fillId="2" borderId="9" xfId="0" applyFont="1" applyFill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13" fillId="4" borderId="24" xfId="0" applyFont="1" applyFill="1" applyBorder="1" applyAlignment="1">
      <alignment horizontal="left" indent="1"/>
    </xf>
    <xf numFmtId="0" fontId="13" fillId="4" borderId="1" xfId="0" applyFont="1" applyFill="1" applyBorder="1" applyAlignment="1">
      <alignment horizontal="left" indent="1"/>
    </xf>
    <xf numFmtId="0" fontId="13" fillId="4" borderId="15" xfId="0" applyFont="1" applyFill="1" applyBorder="1" applyAlignment="1">
      <alignment horizontal="left"/>
    </xf>
    <xf numFmtId="0" fontId="13" fillId="4" borderId="6" xfId="0" applyFont="1" applyFill="1" applyBorder="1" applyAlignment="1">
      <alignment horizontal="left"/>
    </xf>
    <xf numFmtId="0" fontId="1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3" fillId="2" borderId="7" xfId="0" applyFont="1" applyFill="1" applyBorder="1" applyAlignment="1">
      <alignment horizontal="left"/>
    </xf>
    <xf numFmtId="0" fontId="13" fillId="0" borderId="23" xfId="0" applyFont="1" applyBorder="1" applyAlignment="1">
      <alignment horizontal="left"/>
    </xf>
    <xf numFmtId="0" fontId="12" fillId="0" borderId="15" xfId="0" applyFont="1" applyBorder="1" applyAlignment="1">
      <alignment horizontal="left" indent="1"/>
    </xf>
    <xf numFmtId="0" fontId="12" fillId="0" borderId="6" xfId="0" applyFont="1" applyBorder="1" applyAlignment="1">
      <alignment horizontal="left" indent="1"/>
    </xf>
    <xf numFmtId="43" fontId="13" fillId="0" borderId="0" xfId="0" applyNumberFormat="1" applyFont="1" applyAlignment="1">
      <alignment horizontal="right"/>
    </xf>
    <xf numFmtId="0" fontId="12" fillId="0" borderId="0" xfId="0" applyFont="1"/>
    <xf numFmtId="4" fontId="12" fillId="0" borderId="0" xfId="0" applyNumberFormat="1" applyFont="1"/>
    <xf numFmtId="0" fontId="16" fillId="16" borderId="24" xfId="5" applyBorder="1" applyAlignment="1">
      <alignment horizontal="left" indent="1"/>
    </xf>
    <xf numFmtId="0" fontId="16" fillId="16" borderId="1" xfId="5" applyBorder="1" applyAlignment="1">
      <alignment horizontal="left" indent="1"/>
    </xf>
    <xf numFmtId="0" fontId="1" fillId="17" borderId="15" xfId="6" applyBorder="1" applyAlignment="1">
      <alignment horizontal="left"/>
    </xf>
    <xf numFmtId="0" fontId="1" fillId="17" borderId="6" xfId="6" applyBorder="1" applyAlignment="1">
      <alignment horizontal="left"/>
    </xf>
    <xf numFmtId="0" fontId="13" fillId="18" borderId="24" xfId="0" applyFont="1" applyFill="1" applyBorder="1" applyAlignment="1">
      <alignment horizontal="left" indent="1"/>
    </xf>
    <xf numFmtId="0" fontId="13" fillId="18" borderId="1" xfId="0" applyFont="1" applyFill="1" applyBorder="1" applyAlignment="1">
      <alignment horizontal="left" indent="1"/>
    </xf>
    <xf numFmtId="0" fontId="13" fillId="15" borderId="24" xfId="0" applyFont="1" applyFill="1" applyBorder="1" applyAlignment="1">
      <alignment horizontal="left" indent="1"/>
    </xf>
    <xf numFmtId="0" fontId="13" fillId="15" borderId="1" xfId="0" applyFont="1" applyFill="1" applyBorder="1" applyAlignment="1">
      <alignment horizontal="left" indent="1"/>
    </xf>
    <xf numFmtId="43" fontId="18" fillId="0" borderId="0" xfId="0" applyNumberFormat="1" applyFont="1" applyAlignment="1">
      <alignment horizontal="right"/>
    </xf>
    <xf numFmtId="0" fontId="19" fillId="0" borderId="0" xfId="0" applyFont="1" applyAlignment="1">
      <alignment horizontal="right"/>
    </xf>
    <xf numFmtId="0" fontId="19" fillId="0" borderId="0" xfId="0" applyFont="1"/>
    <xf numFmtId="4" fontId="19" fillId="0" borderId="0" xfId="0" applyNumberFormat="1" applyFont="1"/>
    <xf numFmtId="0" fontId="19" fillId="0" borderId="16" xfId="0" applyFont="1" applyBorder="1" applyAlignment="1">
      <alignment horizontal="left" indent="1"/>
    </xf>
    <xf numFmtId="0" fontId="19" fillId="0" borderId="17" xfId="0" applyFont="1" applyBorder="1" applyAlignment="1">
      <alignment horizontal="left" indent="1"/>
    </xf>
    <xf numFmtId="0" fontId="18" fillId="0" borderId="0" xfId="0" applyFont="1" applyAlignment="1">
      <alignment horizontal="center"/>
    </xf>
    <xf numFmtId="49" fontId="19" fillId="0" borderId="0" xfId="0" applyNumberFormat="1" applyFont="1" applyAlignment="1">
      <alignment horizontal="center"/>
    </xf>
    <xf numFmtId="0" fontId="18" fillId="2" borderId="9" xfId="0" applyFont="1" applyFill="1" applyBorder="1" applyAlignment="1">
      <alignment horizontal="left"/>
    </xf>
    <xf numFmtId="0" fontId="18" fillId="0" borderId="10" xfId="0" applyFont="1" applyBorder="1" applyAlignment="1">
      <alignment horizontal="left"/>
    </xf>
    <xf numFmtId="0" fontId="20" fillId="16" borderId="24" xfId="5" applyFont="1" applyBorder="1" applyAlignment="1">
      <alignment horizontal="left" indent="1"/>
    </xf>
    <xf numFmtId="0" fontId="20" fillId="16" borderId="1" xfId="5" applyFont="1" applyBorder="1" applyAlignment="1">
      <alignment horizontal="left" indent="1"/>
    </xf>
    <xf numFmtId="0" fontId="19" fillId="19" borderId="33" xfId="8" applyFont="1" applyAlignment="1">
      <alignment horizontal="left"/>
    </xf>
    <xf numFmtId="0" fontId="21" fillId="22" borderId="24" xfId="9" applyFont="1" applyFill="1" applyBorder="1" applyAlignment="1">
      <alignment horizontal="left" indent="1"/>
    </xf>
    <xf numFmtId="0" fontId="21" fillId="22" borderId="1" xfId="9" applyFont="1" applyFill="1" applyBorder="1" applyAlignment="1">
      <alignment horizontal="left" indent="1"/>
    </xf>
    <xf numFmtId="0" fontId="18" fillId="15" borderId="24" xfId="0" applyFont="1" applyFill="1" applyBorder="1" applyAlignment="1">
      <alignment horizontal="left" indent="1"/>
    </xf>
    <xf numFmtId="0" fontId="18" fillId="15" borderId="1" xfId="0" applyFont="1" applyFill="1" applyBorder="1" applyAlignment="1">
      <alignment horizontal="left" indent="1"/>
    </xf>
    <xf numFmtId="0" fontId="18" fillId="0" borderId="0" xfId="0" applyFont="1" applyAlignment="1">
      <alignment horizontal="right"/>
    </xf>
    <xf numFmtId="0" fontId="18" fillId="2" borderId="7" xfId="0" applyFont="1" applyFill="1" applyBorder="1" applyAlignment="1">
      <alignment horizontal="left"/>
    </xf>
    <xf numFmtId="0" fontId="18" fillId="0" borderId="23" xfId="0" applyFont="1" applyBorder="1" applyAlignment="1">
      <alignment horizontal="left"/>
    </xf>
    <xf numFmtId="0" fontId="19" fillId="0" borderId="15" xfId="0" applyFont="1" applyBorder="1" applyAlignment="1">
      <alignment horizontal="left" indent="1"/>
    </xf>
    <xf numFmtId="0" fontId="19" fillId="0" borderId="6" xfId="0" applyFont="1" applyBorder="1" applyAlignment="1">
      <alignment horizontal="left" indent="1"/>
    </xf>
  </cellXfs>
  <cellStyles count="11">
    <cellStyle name="20% - Accent2" xfId="6" builtinId="34"/>
    <cellStyle name="Bad" xfId="10" builtinId="27"/>
    <cellStyle name="Comma" xfId="1" builtinId="3"/>
    <cellStyle name="Currency" xfId="7" builtinId="4"/>
    <cellStyle name="Good" xfId="5" builtinId="26"/>
    <cellStyle name="Neutral" xfId="9" builtinId="28"/>
    <cellStyle name="Normal" xfId="0" builtinId="0"/>
    <cellStyle name="Normal 2" xfId="3" xr:uid="{00000000-0005-0000-0000-000002000000}"/>
    <cellStyle name="Normal 6" xfId="4" xr:uid="{00000000-0005-0000-0000-000003000000}"/>
    <cellStyle name="Note" xfId="8" builtinId="10"/>
    <cellStyle name="Percent" xfId="2" builtinId="5"/>
  </cellStyles>
  <dxfs count="0"/>
  <tableStyles count="0" defaultTableStyle="TableStyleMedium2" defaultPivotStyle="PivotStyleLight16"/>
  <colors>
    <mruColors>
      <color rgb="FFFF3F3F"/>
      <color rgb="FFE9D7F3"/>
      <color rgb="FFF52B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ials\2019\2019%20Treasurers%20Report%20and%20Program%20Log\2019%20Treasurer%20Report%20Wor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e (2)"/>
      <sheetName val="July (2)"/>
      <sheetName val="December 2018"/>
      <sheetName val="January 2019"/>
      <sheetName val="February"/>
      <sheetName val="March"/>
      <sheetName val="April"/>
      <sheetName val="May"/>
      <sheetName val="June"/>
      <sheetName val="July"/>
      <sheetName val="August"/>
      <sheetName val="Sept."/>
      <sheetName val="October (2)"/>
      <sheetName val="October"/>
      <sheetName val="November"/>
      <sheetName val="Decemb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G7">
            <v>135739.24000000002</v>
          </cell>
        </row>
        <row r="8">
          <cell r="G8">
            <v>-545.91</v>
          </cell>
        </row>
        <row r="9">
          <cell r="G9">
            <v>-780.5099999999984</v>
          </cell>
        </row>
        <row r="10">
          <cell r="G10">
            <v>-680.36000000000013</v>
          </cell>
        </row>
        <row r="11">
          <cell r="G11">
            <v>-487.31</v>
          </cell>
        </row>
        <row r="12">
          <cell r="G12">
            <v>2349.31</v>
          </cell>
        </row>
        <row r="13">
          <cell r="G13">
            <v>18.55</v>
          </cell>
        </row>
        <row r="14">
          <cell r="G14">
            <v>-979.64</v>
          </cell>
        </row>
        <row r="15">
          <cell r="G15">
            <v>194.82000000000002</v>
          </cell>
        </row>
        <row r="16">
          <cell r="G16">
            <v>-1203.4300000000003</v>
          </cell>
        </row>
        <row r="17">
          <cell r="G17">
            <v>-6300.239999999998</v>
          </cell>
        </row>
        <row r="18">
          <cell r="G18">
            <v>-80.519999999999072</v>
          </cell>
        </row>
        <row r="19">
          <cell r="G19">
            <v>-3063.9500000000003</v>
          </cell>
        </row>
        <row r="20">
          <cell r="G20">
            <v>7186.83</v>
          </cell>
        </row>
        <row r="21">
          <cell r="G21">
            <v>-10342.609999999999</v>
          </cell>
        </row>
        <row r="23">
          <cell r="G23">
            <v>18710</v>
          </cell>
        </row>
        <row r="24">
          <cell r="G24">
            <v>70877.69</v>
          </cell>
        </row>
        <row r="25">
          <cell r="G25">
            <v>100000</v>
          </cell>
        </row>
        <row r="26">
          <cell r="G26">
            <v>0</v>
          </cell>
        </row>
        <row r="27">
          <cell r="G27">
            <v>-204.07</v>
          </cell>
        </row>
        <row r="29">
          <cell r="G29">
            <v>27477.84</v>
          </cell>
        </row>
        <row r="30">
          <cell r="G30">
            <v>16168.32</v>
          </cell>
        </row>
        <row r="31">
          <cell r="G31">
            <v>1334</v>
          </cell>
        </row>
        <row r="32">
          <cell r="G32">
            <v>0</v>
          </cell>
        </row>
        <row r="38">
          <cell r="H38">
            <v>128.27000000000001</v>
          </cell>
        </row>
        <row r="39">
          <cell r="H39">
            <v>7764.4400000000096</v>
          </cell>
        </row>
        <row r="41">
          <cell r="H41">
            <v>-1187.7200000000005</v>
          </cell>
        </row>
        <row r="42">
          <cell r="H42">
            <v>177462.38000000006</v>
          </cell>
        </row>
        <row r="43">
          <cell r="H43">
            <v>160706.75999999998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6.xml"/><Relationship Id="rId1" Type="http://schemas.openxmlformats.org/officeDocument/2006/relationships/vmlDrawing" Target="../drawings/vmlDrawing26.v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6.xml"/><Relationship Id="rId1" Type="http://schemas.openxmlformats.org/officeDocument/2006/relationships/vmlDrawing" Target="../drawings/vmlDrawing36.vml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8.xml"/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0.xml"/><Relationship Id="rId2" Type="http://schemas.openxmlformats.org/officeDocument/2006/relationships/vmlDrawing" Target="../drawings/vmlDrawing40.vml"/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1.xml"/><Relationship Id="rId2" Type="http://schemas.openxmlformats.org/officeDocument/2006/relationships/vmlDrawing" Target="../drawings/vmlDrawing41.vml"/><Relationship Id="rId1" Type="http://schemas.openxmlformats.org/officeDocument/2006/relationships/printerSettings" Target="../printerSettings/printerSettings39.bin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2.xml"/><Relationship Id="rId2" Type="http://schemas.openxmlformats.org/officeDocument/2006/relationships/vmlDrawing" Target="../drawings/vmlDrawing42.vml"/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3.xml"/><Relationship Id="rId2" Type="http://schemas.openxmlformats.org/officeDocument/2006/relationships/vmlDrawing" Target="../drawings/vmlDrawing43.vml"/><Relationship Id="rId1" Type="http://schemas.openxmlformats.org/officeDocument/2006/relationships/printerSettings" Target="../printerSettings/printerSettings41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4.xml"/><Relationship Id="rId2" Type="http://schemas.openxmlformats.org/officeDocument/2006/relationships/vmlDrawing" Target="../drawings/vmlDrawing44.vml"/><Relationship Id="rId1" Type="http://schemas.openxmlformats.org/officeDocument/2006/relationships/printerSettings" Target="../printerSettings/printerSettings42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5.xml"/><Relationship Id="rId2" Type="http://schemas.openxmlformats.org/officeDocument/2006/relationships/vmlDrawing" Target="../drawings/vmlDrawing45.vml"/><Relationship Id="rId1" Type="http://schemas.openxmlformats.org/officeDocument/2006/relationships/printerSettings" Target="../printerSettings/printerSettings43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6.xml"/><Relationship Id="rId2" Type="http://schemas.openxmlformats.org/officeDocument/2006/relationships/vmlDrawing" Target="../drawings/vmlDrawing46.vml"/><Relationship Id="rId1" Type="http://schemas.openxmlformats.org/officeDocument/2006/relationships/printerSettings" Target="../printerSettings/printerSettings44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7.xml"/><Relationship Id="rId2" Type="http://schemas.openxmlformats.org/officeDocument/2006/relationships/vmlDrawing" Target="../drawings/vmlDrawing47.vml"/><Relationship Id="rId1" Type="http://schemas.openxmlformats.org/officeDocument/2006/relationships/printerSettings" Target="../printerSettings/printerSettings45.bin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8.xml"/><Relationship Id="rId2" Type="http://schemas.openxmlformats.org/officeDocument/2006/relationships/vmlDrawing" Target="../drawings/vmlDrawing48.vml"/><Relationship Id="rId1" Type="http://schemas.openxmlformats.org/officeDocument/2006/relationships/printerSettings" Target="../printerSettings/printerSettings46.bin"/></Relationships>
</file>

<file path=xl/worksheets/_rels/sheet4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9.xml"/><Relationship Id="rId2" Type="http://schemas.openxmlformats.org/officeDocument/2006/relationships/vmlDrawing" Target="../drawings/vmlDrawing49.vml"/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0.xml"/><Relationship Id="rId2" Type="http://schemas.openxmlformats.org/officeDocument/2006/relationships/vmlDrawing" Target="../drawings/vmlDrawing50.vml"/><Relationship Id="rId1" Type="http://schemas.openxmlformats.org/officeDocument/2006/relationships/printerSettings" Target="../printerSettings/printerSettings48.bin"/></Relationships>
</file>

<file path=xl/worksheets/_rels/sheet5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1.xml"/><Relationship Id="rId2" Type="http://schemas.openxmlformats.org/officeDocument/2006/relationships/vmlDrawing" Target="../drawings/vmlDrawing51.vml"/><Relationship Id="rId1" Type="http://schemas.openxmlformats.org/officeDocument/2006/relationships/printerSettings" Target="../printerSettings/printerSettings49.bin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2.xml"/><Relationship Id="rId2" Type="http://schemas.openxmlformats.org/officeDocument/2006/relationships/vmlDrawing" Target="../drawings/vmlDrawing52.vml"/><Relationship Id="rId1" Type="http://schemas.openxmlformats.org/officeDocument/2006/relationships/printerSettings" Target="../printerSettings/printerSettings50.bin"/></Relationships>
</file>

<file path=xl/worksheets/_rels/sheet5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3.xml"/><Relationship Id="rId2" Type="http://schemas.openxmlformats.org/officeDocument/2006/relationships/vmlDrawing" Target="../drawings/vmlDrawing53.vml"/><Relationship Id="rId1" Type="http://schemas.openxmlformats.org/officeDocument/2006/relationships/printerSettings" Target="../printerSettings/printerSettings51.bin"/></Relationships>
</file>

<file path=xl/worksheets/_rels/sheet54.xml.rels><?xml version="1.0" encoding="UTF-8" standalone="yes"?>
<Relationships xmlns="http://schemas.openxmlformats.org/package/2006/relationships"><Relationship Id="rId3" Type="http://schemas.openxmlformats.org/officeDocument/2006/relationships/comments" Target="../comments54.xml"/><Relationship Id="rId2" Type="http://schemas.openxmlformats.org/officeDocument/2006/relationships/vmlDrawing" Target="../drawings/vmlDrawing54.vml"/><Relationship Id="rId1" Type="http://schemas.openxmlformats.org/officeDocument/2006/relationships/printerSettings" Target="../printerSettings/printerSettings52.bin"/></Relationships>
</file>

<file path=xl/worksheets/_rels/sheet5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5.xml"/><Relationship Id="rId2" Type="http://schemas.openxmlformats.org/officeDocument/2006/relationships/vmlDrawing" Target="../drawings/vmlDrawing55.vml"/><Relationship Id="rId1" Type="http://schemas.openxmlformats.org/officeDocument/2006/relationships/printerSettings" Target="../printerSettings/printerSettings53.bin"/></Relationships>
</file>

<file path=xl/worksheets/_rels/sheet5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6.xml"/><Relationship Id="rId2" Type="http://schemas.openxmlformats.org/officeDocument/2006/relationships/vmlDrawing" Target="../drawings/vmlDrawing56.vml"/><Relationship Id="rId1" Type="http://schemas.openxmlformats.org/officeDocument/2006/relationships/printerSettings" Target="../printerSettings/printerSettings54.bin"/></Relationships>
</file>

<file path=xl/worksheets/_rels/sheet5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7.xml"/><Relationship Id="rId2" Type="http://schemas.openxmlformats.org/officeDocument/2006/relationships/vmlDrawing" Target="../drawings/vmlDrawing57.vml"/><Relationship Id="rId1" Type="http://schemas.openxmlformats.org/officeDocument/2006/relationships/printerSettings" Target="../printerSettings/printerSettings55.bin"/></Relationships>
</file>

<file path=xl/worksheets/_rels/sheet5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8.xml"/><Relationship Id="rId2" Type="http://schemas.openxmlformats.org/officeDocument/2006/relationships/vmlDrawing" Target="../drawings/vmlDrawing58.vml"/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70BCC-0D17-4F78-ABF3-643E9BA196D3}">
  <sheetPr>
    <pageSetUpPr fitToPage="1"/>
  </sheetPr>
  <dimension ref="A1:S52"/>
  <sheetViews>
    <sheetView topLeftCell="A2" zoomScale="90" zoomScaleNormal="90" workbookViewId="0">
      <selection activeCell="J41" sqref="J41"/>
    </sheetView>
  </sheetViews>
  <sheetFormatPr defaultColWidth="9.140625" defaultRowHeight="15" x14ac:dyDescent="0.25"/>
  <cols>
    <col min="1" max="1" width="3" customWidth="1"/>
    <col min="2" max="2" width="5.7109375" customWidth="1"/>
    <col min="3" max="3" width="33.85546875" bestFit="1" customWidth="1"/>
    <col min="4" max="4" width="13.85546875" customWidth="1"/>
    <col min="5" max="5" width="12.5703125" customWidth="1"/>
    <col min="6" max="6" width="15.28515625" customWidth="1"/>
    <col min="7" max="8" width="12.5703125" customWidth="1"/>
    <col min="9" max="9" width="30.28515625" bestFit="1" customWidth="1"/>
    <col min="10" max="10" width="15.85546875" bestFit="1" customWidth="1"/>
    <col min="11" max="11" width="14.5703125" customWidth="1"/>
    <col min="12" max="12" width="11.28515625" customWidth="1"/>
    <col min="17" max="17" width="13" customWidth="1"/>
  </cols>
  <sheetData>
    <row r="1" spans="1:19" hidden="1" x14ac:dyDescent="0.25"/>
    <row r="2" spans="1:19" ht="21" x14ac:dyDescent="0.35">
      <c r="B2" s="771" t="s">
        <v>0</v>
      </c>
      <c r="C2" s="771"/>
      <c r="D2" s="771"/>
      <c r="E2" s="771"/>
      <c r="F2" s="771"/>
      <c r="G2" s="771"/>
      <c r="H2" s="771"/>
      <c r="I2" s="193"/>
    </row>
    <row r="3" spans="1:19" ht="18.75" x14ac:dyDescent="0.3">
      <c r="B3" s="772" t="s">
        <v>63</v>
      </c>
      <c r="C3" s="772"/>
      <c r="D3" s="772"/>
      <c r="E3" s="772"/>
      <c r="F3" s="772"/>
      <c r="G3" s="772"/>
      <c r="H3" s="772"/>
      <c r="I3" s="194"/>
    </row>
    <row r="4" spans="1:19" ht="15.75" thickBot="1" x14ac:dyDescent="0.3">
      <c r="B4" s="1"/>
      <c r="C4" s="51" t="s">
        <v>37</v>
      </c>
      <c r="D4" s="1"/>
      <c r="E4" s="1"/>
      <c r="F4" s="1"/>
      <c r="G4" s="2"/>
      <c r="J4" s="88"/>
    </row>
    <row r="5" spans="1:19" x14ac:dyDescent="0.25">
      <c r="B5" s="773" t="s">
        <v>1</v>
      </c>
      <c r="C5" s="774"/>
      <c r="D5" s="24" t="s">
        <v>2</v>
      </c>
      <c r="E5" s="24" t="s">
        <v>3</v>
      </c>
      <c r="F5" s="24" t="s">
        <v>58</v>
      </c>
      <c r="G5" s="24" t="s">
        <v>5</v>
      </c>
      <c r="H5" s="24" t="s">
        <v>6</v>
      </c>
      <c r="I5" s="50"/>
      <c r="J5" s="50"/>
    </row>
    <row r="6" spans="1:19" x14ac:dyDescent="0.25">
      <c r="B6" s="775" t="s">
        <v>7</v>
      </c>
      <c r="C6" s="776"/>
      <c r="D6" s="25">
        <f>SUM(D7:D16)</f>
        <v>108814.41</v>
      </c>
      <c r="E6" s="62">
        <f>SUM(E7:E16)</f>
        <v>705.36</v>
      </c>
      <c r="F6" s="62">
        <f>SUM(F7:F16)</f>
        <v>2101.0499999999997</v>
      </c>
      <c r="G6" s="62">
        <f>SUM(G7:G16)</f>
        <v>107418.72000000002</v>
      </c>
      <c r="H6" s="63">
        <f>SUM(H7:H15)</f>
        <v>0</v>
      </c>
      <c r="I6" s="73"/>
      <c r="J6" s="73"/>
      <c r="K6" s="73"/>
      <c r="L6" s="23"/>
      <c r="Q6" s="23"/>
      <c r="S6" s="23"/>
    </row>
    <row r="7" spans="1:19" ht="15.75" customHeight="1" x14ac:dyDescent="0.25">
      <c r="B7" s="11"/>
      <c r="C7" s="22" t="s">
        <v>23</v>
      </c>
      <c r="D7" s="163">
        <f>'April 2020'!G7</f>
        <v>103751.16</v>
      </c>
      <c r="E7" s="67">
        <v>128.74</v>
      </c>
      <c r="F7" s="139">
        <f>236.65+657.68+1236.65-5456.55</f>
        <v>-3325.57</v>
      </c>
      <c r="G7" s="164">
        <f>D7+E7-F7</f>
        <v>107205.47000000002</v>
      </c>
      <c r="H7" s="165"/>
      <c r="I7" s="125"/>
      <c r="J7" s="23"/>
    </row>
    <row r="8" spans="1:19" x14ac:dyDescent="0.25">
      <c r="B8" s="12"/>
      <c r="C8" s="52" t="s">
        <v>62</v>
      </c>
      <c r="D8" s="163">
        <f>'April 2020'!G8</f>
        <v>-233.84</v>
      </c>
      <c r="E8" s="166"/>
      <c r="F8" s="166">
        <v>1013.35</v>
      </c>
      <c r="G8" s="184">
        <f t="shared" ref="G8:G16" si="0">D8+E8-F8</f>
        <v>-1247.19</v>
      </c>
      <c r="H8" s="165"/>
      <c r="I8" s="73"/>
      <c r="J8" s="149"/>
    </row>
    <row r="9" spans="1:19" hidden="1" x14ac:dyDescent="0.25">
      <c r="B9" s="12"/>
      <c r="C9" s="53" t="s">
        <v>31</v>
      </c>
      <c r="D9" s="163">
        <f>'April 2020'!G9</f>
        <v>0</v>
      </c>
      <c r="E9" s="166"/>
      <c r="F9" s="166"/>
      <c r="G9" s="164">
        <f t="shared" si="0"/>
        <v>0</v>
      </c>
      <c r="H9" s="165"/>
      <c r="I9" s="73"/>
      <c r="J9" s="71">
        <v>3231.47</v>
      </c>
      <c r="K9" s="23"/>
    </row>
    <row r="10" spans="1:19" x14ac:dyDescent="0.25">
      <c r="B10" s="12"/>
      <c r="C10" s="53" t="s">
        <v>41</v>
      </c>
      <c r="D10" s="163">
        <f>'April 2020'!G10</f>
        <v>-1698.75</v>
      </c>
      <c r="E10" s="152"/>
      <c r="F10" s="152">
        <v>789.2</v>
      </c>
      <c r="G10" s="108">
        <f t="shared" si="0"/>
        <v>-2487.9499999999998</v>
      </c>
      <c r="H10" s="165"/>
      <c r="I10" s="73"/>
      <c r="J10" s="93"/>
      <c r="K10" s="23"/>
    </row>
    <row r="11" spans="1:19" hidden="1" x14ac:dyDescent="0.25">
      <c r="B11" s="12"/>
      <c r="C11" s="53" t="s">
        <v>29</v>
      </c>
      <c r="D11" s="163">
        <f>'April 2020'!G11</f>
        <v>0</v>
      </c>
      <c r="E11" s="70"/>
      <c r="F11" s="70"/>
      <c r="G11" s="164">
        <f t="shared" si="0"/>
        <v>0</v>
      </c>
      <c r="H11" s="165"/>
      <c r="I11" s="73"/>
      <c r="J11" s="93"/>
    </row>
    <row r="12" spans="1:19" x14ac:dyDescent="0.25">
      <c r="B12" s="12"/>
      <c r="C12" s="53" t="s">
        <v>20</v>
      </c>
      <c r="D12" s="163">
        <f>'April 2020'!G12</f>
        <v>8277.7099999999991</v>
      </c>
      <c r="E12" s="152">
        <f>467.86+33.68</f>
        <v>501.54</v>
      </c>
      <c r="F12" s="152">
        <f>3538.46</f>
        <v>3538.46</v>
      </c>
      <c r="G12" s="181">
        <f t="shared" si="0"/>
        <v>5240.79</v>
      </c>
      <c r="H12" s="165"/>
      <c r="I12" s="73"/>
      <c r="J12" s="23"/>
    </row>
    <row r="13" spans="1:19" x14ac:dyDescent="0.25">
      <c r="B13" s="12"/>
      <c r="C13" s="53" t="s">
        <v>22</v>
      </c>
      <c r="D13" s="163">
        <f>'April 2020'!G13</f>
        <v>333.29999999999995</v>
      </c>
      <c r="E13" s="152">
        <v>75.08</v>
      </c>
      <c r="F13" s="167"/>
      <c r="G13" s="181">
        <f t="shared" si="0"/>
        <v>408.37999999999994</v>
      </c>
      <c r="H13" s="165"/>
      <c r="I13" s="73"/>
      <c r="J13" s="23"/>
    </row>
    <row r="14" spans="1:19" x14ac:dyDescent="0.25">
      <c r="B14" s="12"/>
      <c r="C14" s="53" t="s">
        <v>28</v>
      </c>
      <c r="D14" s="163">
        <f>'April 2020'!G14</f>
        <v>-1510.4900000000002</v>
      </c>
      <c r="E14" s="167"/>
      <c r="F14" s="152"/>
      <c r="G14" s="108">
        <f t="shared" si="0"/>
        <v>-1510.4900000000002</v>
      </c>
      <c r="H14" s="165"/>
      <c r="I14" s="73"/>
      <c r="J14" s="23"/>
    </row>
    <row r="15" spans="1:19" x14ac:dyDescent="0.25">
      <c r="A15" t="s">
        <v>26</v>
      </c>
      <c r="B15" s="12"/>
      <c r="C15" s="18" t="s">
        <v>42</v>
      </c>
      <c r="D15" s="163">
        <f>'April 2020'!G15</f>
        <v>34.660000000000025</v>
      </c>
      <c r="E15" s="166"/>
      <c r="F15" s="166"/>
      <c r="G15" s="153">
        <f t="shared" si="0"/>
        <v>34.660000000000025</v>
      </c>
      <c r="H15" s="165"/>
      <c r="I15" s="73"/>
      <c r="J15" s="23"/>
    </row>
    <row r="16" spans="1:19" x14ac:dyDescent="0.25">
      <c r="B16" s="12"/>
      <c r="C16" s="18" t="s">
        <v>43</v>
      </c>
      <c r="D16" s="163">
        <f>'April 2020'!G16</f>
        <v>-139.3400000000002</v>
      </c>
      <c r="E16" s="166"/>
      <c r="F16" s="154">
        <v>85.61</v>
      </c>
      <c r="G16" s="181">
        <f t="shared" si="0"/>
        <v>-224.95000000000022</v>
      </c>
      <c r="H16" s="165"/>
      <c r="I16" s="73"/>
      <c r="J16" s="73"/>
      <c r="Q16" s="23"/>
    </row>
    <row r="17" spans="2:17" x14ac:dyDescent="0.25">
      <c r="B17" s="777" t="s">
        <v>53</v>
      </c>
      <c r="C17" s="778"/>
      <c r="D17" s="141">
        <f>SUM(D18:D21)</f>
        <v>-21857.730000000003</v>
      </c>
      <c r="E17" s="168">
        <f>SUM(E18:E21)</f>
        <v>0</v>
      </c>
      <c r="F17" s="107">
        <f>SUM(F18:F21)</f>
        <v>5544.0800000000008</v>
      </c>
      <c r="G17" s="108">
        <f>SUM(G21,G20,G19,G18)</f>
        <v>-27401.81</v>
      </c>
      <c r="H17" s="169"/>
      <c r="I17" s="73"/>
      <c r="J17" s="73"/>
      <c r="Q17" s="23"/>
    </row>
    <row r="18" spans="2:17" x14ac:dyDescent="0.25">
      <c r="B18" s="13"/>
      <c r="C18" s="40" t="s">
        <v>9</v>
      </c>
      <c r="D18" s="140">
        <f>'April 2020'!G18</f>
        <v>-13625.26</v>
      </c>
      <c r="E18" s="150"/>
      <c r="F18" s="134">
        <v>2616.09</v>
      </c>
      <c r="G18" s="137">
        <f>D18+E18-F18</f>
        <v>-16241.35</v>
      </c>
      <c r="H18" s="166"/>
      <c r="I18" s="73"/>
      <c r="J18" s="23"/>
      <c r="K18" s="4"/>
    </row>
    <row r="19" spans="2:17" x14ac:dyDescent="0.25">
      <c r="B19" s="12"/>
      <c r="C19" s="55" t="s">
        <v>8</v>
      </c>
      <c r="D19" s="140">
        <f>'April 2020'!G19</f>
        <v>-5644.93</v>
      </c>
      <c r="E19" s="167"/>
      <c r="F19" s="152">
        <f>951.38+62.04</f>
        <v>1013.42</v>
      </c>
      <c r="G19" s="137">
        <f>D19+E19-F19</f>
        <v>-6658.35</v>
      </c>
      <c r="H19" s="170"/>
      <c r="I19" s="73"/>
      <c r="J19" s="23"/>
    </row>
    <row r="20" spans="2:17" x14ac:dyDescent="0.25">
      <c r="B20" s="12"/>
      <c r="C20" s="55" t="s">
        <v>32</v>
      </c>
      <c r="D20" s="140">
        <f>'April 2020'!G20</f>
        <v>-497.2</v>
      </c>
      <c r="E20" s="167"/>
      <c r="F20" s="152">
        <v>891.52</v>
      </c>
      <c r="G20" s="137">
        <f t="shared" ref="G20:G21" si="1">D20+E20-F20</f>
        <v>-1388.72</v>
      </c>
      <c r="H20" s="171"/>
      <c r="I20" s="73"/>
      <c r="J20" s="23"/>
    </row>
    <row r="21" spans="2:17" x14ac:dyDescent="0.25">
      <c r="B21" s="10"/>
      <c r="C21" s="41" t="s">
        <v>38</v>
      </c>
      <c r="D21" s="140">
        <f>'April 2020'!G21</f>
        <v>-2090.34</v>
      </c>
      <c r="E21" s="151"/>
      <c r="F21" s="134">
        <v>1023.05</v>
      </c>
      <c r="G21" s="137">
        <f t="shared" si="1"/>
        <v>-3113.3900000000003</v>
      </c>
      <c r="H21" s="166"/>
      <c r="I21" s="73"/>
      <c r="J21" s="23"/>
      <c r="K21" s="4"/>
    </row>
    <row r="22" spans="2:17" x14ac:dyDescent="0.25">
      <c r="B22" s="775" t="s">
        <v>10</v>
      </c>
      <c r="C22" s="776"/>
      <c r="D22" s="141">
        <f>SUM(D23:D27)</f>
        <v>161406.53</v>
      </c>
      <c r="E22" s="172">
        <f>SUM(E23:E27)</f>
        <v>134492</v>
      </c>
      <c r="F22" s="111">
        <f>SUM(F23:F27)</f>
        <v>4743.43</v>
      </c>
      <c r="G22" s="111">
        <f>SUM(G23:G27)</f>
        <v>291155.09999999998</v>
      </c>
      <c r="H22" s="173">
        <f>SUM(H27:H31)</f>
        <v>0</v>
      </c>
      <c r="I22" s="73"/>
      <c r="J22" s="73"/>
      <c r="Q22" s="23"/>
    </row>
    <row r="23" spans="2:17" x14ac:dyDescent="0.25">
      <c r="B23" s="13"/>
      <c r="C23" s="37" t="s">
        <v>55</v>
      </c>
      <c r="D23" s="140">
        <f>'April 2020'!G23</f>
        <v>18710</v>
      </c>
      <c r="E23" s="150"/>
      <c r="F23" s="150"/>
      <c r="G23" s="121">
        <f>D23+E23-F23</f>
        <v>18710</v>
      </c>
      <c r="H23" s="139"/>
      <c r="I23" s="73"/>
      <c r="J23" s="23"/>
      <c r="K23" s="5"/>
    </row>
    <row r="24" spans="2:17" x14ac:dyDescent="0.25">
      <c r="B24" s="11"/>
      <c r="C24" s="19" t="s">
        <v>34</v>
      </c>
      <c r="D24" s="140">
        <f>'April 2020'!G24</f>
        <v>40026.480000000003</v>
      </c>
      <c r="E24" s="151"/>
      <c r="F24" s="182">
        <v>4743.43</v>
      </c>
      <c r="G24" s="121">
        <f t="shared" ref="G24:G27" si="2">D24+E24-F24</f>
        <v>35283.050000000003</v>
      </c>
      <c r="H24" s="166"/>
      <c r="I24" s="74"/>
      <c r="J24" s="23"/>
      <c r="K24" s="23"/>
    </row>
    <row r="25" spans="2:17" x14ac:dyDescent="0.25">
      <c r="B25" s="11"/>
      <c r="C25" s="19" t="s">
        <v>39</v>
      </c>
      <c r="D25" s="140">
        <f>'April 2020'!G25</f>
        <v>102500</v>
      </c>
      <c r="E25" s="151"/>
      <c r="F25" s="151"/>
      <c r="G25" s="121">
        <f t="shared" si="2"/>
        <v>102500</v>
      </c>
      <c r="H25" s="166"/>
      <c r="I25" s="74"/>
      <c r="J25" s="23"/>
      <c r="K25" s="23"/>
    </row>
    <row r="26" spans="2:17" x14ac:dyDescent="0.25">
      <c r="B26" s="11"/>
      <c r="C26" s="19" t="s">
        <v>65</v>
      </c>
      <c r="D26" s="140">
        <f>'April 2020'!G26</f>
        <v>0</v>
      </c>
      <c r="E26" s="151">
        <v>134492</v>
      </c>
      <c r="F26" s="151"/>
      <c r="G26" s="150">
        <f t="shared" si="2"/>
        <v>134492</v>
      </c>
      <c r="H26" s="166"/>
      <c r="I26" s="74"/>
      <c r="J26" s="23"/>
      <c r="K26" s="23"/>
    </row>
    <row r="27" spans="2:17" x14ac:dyDescent="0.25">
      <c r="B27" s="10"/>
      <c r="C27" s="18" t="s">
        <v>44</v>
      </c>
      <c r="D27" s="140">
        <f>'April 2020'!G27</f>
        <v>170.05</v>
      </c>
      <c r="E27" s="151"/>
      <c r="F27" s="151"/>
      <c r="G27" s="121">
        <f t="shared" si="2"/>
        <v>170.05</v>
      </c>
      <c r="H27" s="166"/>
      <c r="I27" s="73"/>
      <c r="J27" s="23"/>
      <c r="K27" s="5"/>
    </row>
    <row r="28" spans="2:17" x14ac:dyDescent="0.25">
      <c r="B28" s="775" t="s">
        <v>35</v>
      </c>
      <c r="C28" s="776"/>
      <c r="D28" s="141">
        <f>SUM(D29:D32)</f>
        <v>40905</v>
      </c>
      <c r="E28" s="172">
        <f>SUM(E29:E32)</f>
        <v>10000</v>
      </c>
      <c r="F28" s="172">
        <f>SUM(F29:F32)</f>
        <v>379.99</v>
      </c>
      <c r="G28" s="111">
        <f>SUM(G29:G32)</f>
        <v>50525.009999999995</v>
      </c>
      <c r="H28" s="173">
        <f t="shared" ref="H28" si="3">SUM(H29:H31)</f>
        <v>0</v>
      </c>
      <c r="I28" s="73"/>
      <c r="J28" s="73"/>
      <c r="Q28" s="23"/>
    </row>
    <row r="29" spans="2:17" x14ac:dyDescent="0.25">
      <c r="B29" s="10"/>
      <c r="C29" s="18" t="s">
        <v>48</v>
      </c>
      <c r="D29" s="140">
        <f>'April 2020'!G29</f>
        <v>27418.920000000002</v>
      </c>
      <c r="E29" s="174"/>
      <c r="F29" s="183">
        <v>379.99</v>
      </c>
      <c r="G29" s="119">
        <f t="shared" ref="G29:G32" si="4">D29+E29-F29</f>
        <v>27038.93</v>
      </c>
      <c r="H29" s="166"/>
      <c r="I29" s="73"/>
      <c r="J29" s="23"/>
      <c r="K29" s="5"/>
    </row>
    <row r="30" spans="2:17" x14ac:dyDescent="0.25">
      <c r="B30" s="10"/>
      <c r="C30" s="20" t="s">
        <v>64</v>
      </c>
      <c r="D30" s="140">
        <f>'April 2020'!G30</f>
        <v>13486.079999999998</v>
      </c>
      <c r="E30" s="174">
        <v>10000</v>
      </c>
      <c r="F30" s="134"/>
      <c r="G30" s="119">
        <f t="shared" si="4"/>
        <v>23486.079999999998</v>
      </c>
      <c r="H30" s="166"/>
      <c r="I30" s="73"/>
      <c r="J30" s="93"/>
      <c r="K30" s="3"/>
      <c r="Q30" s="148"/>
    </row>
    <row r="31" spans="2:17" x14ac:dyDescent="0.25">
      <c r="B31" s="10"/>
      <c r="C31" s="21" t="s">
        <v>33</v>
      </c>
      <c r="D31" s="140">
        <f>'April 2020'!G31</f>
        <v>0</v>
      </c>
      <c r="E31" s="174"/>
      <c r="F31" s="151"/>
      <c r="G31" s="134">
        <f t="shared" si="4"/>
        <v>0</v>
      </c>
      <c r="H31" s="166"/>
      <c r="I31" s="73"/>
      <c r="J31" s="23"/>
      <c r="K31" s="4"/>
      <c r="Q31" s="149"/>
    </row>
    <row r="32" spans="2:17" ht="15.75" thickBot="1" x14ac:dyDescent="0.3">
      <c r="C32" s="104" t="s">
        <v>47</v>
      </c>
      <c r="D32" s="140">
        <f>'April 2020'!G32</f>
        <v>0</v>
      </c>
      <c r="E32" s="174"/>
      <c r="F32" s="151"/>
      <c r="G32" s="151">
        <f t="shared" si="4"/>
        <v>0</v>
      </c>
      <c r="H32" s="166"/>
      <c r="I32" s="73"/>
      <c r="J32" s="23"/>
      <c r="K32" s="4"/>
      <c r="Q32" s="149"/>
    </row>
    <row r="33" spans="2:17" ht="15.75" thickBot="1" x14ac:dyDescent="0.3">
      <c r="B33" s="779" t="s">
        <v>11</v>
      </c>
      <c r="C33" s="766"/>
      <c r="D33" s="38">
        <f>D6+D17+D22+D28</f>
        <v>289268.20999999996</v>
      </c>
      <c r="E33" s="47">
        <f>SUM(E22,E17,E6,E28)</f>
        <v>145197.35999999999</v>
      </c>
      <c r="F33" s="43">
        <f>SUM(F22,F17,F6,F28)</f>
        <v>12768.550000000001</v>
      </c>
      <c r="G33" s="44">
        <f>SUM(G22,G17,G6,G28)</f>
        <v>421697.02</v>
      </c>
      <c r="H33" s="78">
        <f>SUM(H6,H16,H22,H28)</f>
        <v>0</v>
      </c>
      <c r="I33" s="23"/>
      <c r="J33" s="23"/>
      <c r="K33" s="6"/>
    </row>
    <row r="34" spans="2:17" hidden="1" x14ac:dyDescent="0.25">
      <c r="B34" s="191"/>
      <c r="C34" s="192"/>
      <c r="D34" s="23">
        <f>SUM(D17:D21)</f>
        <v>-43715.460000000006</v>
      </c>
      <c r="E34" s="23"/>
      <c r="F34" s="23"/>
      <c r="G34" s="23"/>
      <c r="H34" s="49"/>
      <c r="I34" s="23"/>
      <c r="L34" t="s">
        <v>12</v>
      </c>
      <c r="M34">
        <v>42.43</v>
      </c>
    </row>
    <row r="35" spans="2:17" ht="15.75" hidden="1" thickBot="1" x14ac:dyDescent="0.3">
      <c r="B35" s="9" t="s">
        <v>25</v>
      </c>
      <c r="C35" s="15"/>
      <c r="D35" s="33" t="e">
        <f>SUM(D33,#REF!)</f>
        <v>#REF!</v>
      </c>
      <c r="E35" s="34" t="e">
        <f>SUM(E33,#REF!)</f>
        <v>#REF!</v>
      </c>
      <c r="F35" s="34" t="e">
        <f>SUM(F33,#REF!)</f>
        <v>#REF!</v>
      </c>
      <c r="G35" s="35" t="e">
        <f>SUM(G33,#REF!)</f>
        <v>#REF!</v>
      </c>
      <c r="H35" s="49"/>
      <c r="I35" s="23"/>
      <c r="J35" s="6"/>
      <c r="K35" s="4">
        <v>206730.35</v>
      </c>
    </row>
    <row r="36" spans="2:17" ht="15.75" thickBot="1" x14ac:dyDescent="0.3">
      <c r="C36" s="7"/>
      <c r="D36" s="23"/>
      <c r="E36" s="23"/>
      <c r="F36" s="23"/>
      <c r="G36" s="23"/>
      <c r="H36" s="49"/>
      <c r="I36" s="64"/>
      <c r="J36" s="6"/>
      <c r="K36" s="4"/>
      <c r="Q36" s="23"/>
    </row>
    <row r="37" spans="2:17" ht="15.75" thickBot="1" x14ac:dyDescent="0.3">
      <c r="B37" s="780" t="s">
        <v>13</v>
      </c>
      <c r="C37" s="781"/>
      <c r="D37" s="31" t="s">
        <v>2</v>
      </c>
      <c r="E37" s="31" t="s">
        <v>3</v>
      </c>
      <c r="F37" s="31" t="s">
        <v>24</v>
      </c>
      <c r="G37" s="31" t="s">
        <v>27</v>
      </c>
      <c r="H37" s="31" t="s">
        <v>5</v>
      </c>
      <c r="I37" s="50"/>
      <c r="J37" s="6"/>
      <c r="K37" s="8"/>
    </row>
    <row r="38" spans="2:17" ht="15.75" thickBot="1" x14ac:dyDescent="0.3">
      <c r="B38" s="769" t="s">
        <v>14</v>
      </c>
      <c r="C38" s="770"/>
      <c r="D38" s="161">
        <f>'April 2020'!H38</f>
        <v>212.97</v>
      </c>
      <c r="E38" s="162">
        <v>109.2</v>
      </c>
      <c r="F38" s="162"/>
      <c r="G38" s="162">
        <v>235.53</v>
      </c>
      <c r="H38" s="114">
        <f t="shared" ref="H38:H40" si="5">D38+E38+F38-G38</f>
        <v>86.640000000000015</v>
      </c>
      <c r="I38" s="23"/>
      <c r="K38" s="6"/>
      <c r="L38" s="4"/>
    </row>
    <row r="39" spans="2:17" ht="15.75" thickBot="1" x14ac:dyDescent="0.3">
      <c r="B39" s="782" t="s">
        <v>15</v>
      </c>
      <c r="C39" s="783"/>
      <c r="D39" s="161">
        <f>'April 2020'!H39</f>
        <v>7824.440000000006</v>
      </c>
      <c r="E39" s="115"/>
      <c r="F39" s="115">
        <v>16000</v>
      </c>
      <c r="G39" s="115">
        <v>13922.92</v>
      </c>
      <c r="H39" s="155">
        <f>D39+E39+F39-G39</f>
        <v>9901.5200000000059</v>
      </c>
      <c r="I39" s="23"/>
      <c r="J39" s="65"/>
      <c r="K39" s="6"/>
    </row>
    <row r="40" spans="2:17" ht="15.75" thickBot="1" x14ac:dyDescent="0.3">
      <c r="B40" s="14"/>
      <c r="C40" s="16" t="s">
        <v>21</v>
      </c>
      <c r="D40" s="161">
        <f>'April 2020'!H40</f>
        <v>0</v>
      </c>
      <c r="E40" s="56"/>
      <c r="F40" s="56"/>
      <c r="G40" s="56"/>
      <c r="H40" s="156">
        <f t="shared" si="5"/>
        <v>0</v>
      </c>
      <c r="I40" s="23"/>
      <c r="J40" s="65"/>
      <c r="K40" s="4"/>
    </row>
    <row r="41" spans="2:17" ht="15.75" thickBot="1" x14ac:dyDescent="0.3">
      <c r="B41" s="14"/>
      <c r="C41" s="16" t="s">
        <v>40</v>
      </c>
      <c r="D41" s="161">
        <f>'April 2020'!H41</f>
        <v>-1741.5900000000008</v>
      </c>
      <c r="E41" s="56">
        <v>1514.22</v>
      </c>
      <c r="F41" s="56"/>
      <c r="G41" s="160">
        <v>892.94</v>
      </c>
      <c r="H41" s="157">
        <f>D41+E41+F41-G41</f>
        <v>-1120.3100000000009</v>
      </c>
      <c r="I41" s="23"/>
      <c r="J41" s="4"/>
      <c r="K41" s="4"/>
    </row>
    <row r="42" spans="2:17" ht="15.75" thickBot="1" x14ac:dyDescent="0.3">
      <c r="B42" s="769" t="s">
        <v>16</v>
      </c>
      <c r="C42" s="770"/>
      <c r="D42" s="161">
        <f>'April 2020'!H42</f>
        <v>125129.70000000007</v>
      </c>
      <c r="E42" s="61">
        <v>146816.49</v>
      </c>
      <c r="F42" s="61"/>
      <c r="G42" s="61">
        <v>16000</v>
      </c>
      <c r="H42" s="158">
        <f>D42+E42-F42-G42</f>
        <v>255946.19000000006</v>
      </c>
      <c r="I42" s="23"/>
      <c r="J42" s="4"/>
      <c r="K42" s="4"/>
    </row>
    <row r="43" spans="2:17" ht="15.75" thickBot="1" x14ac:dyDescent="0.3">
      <c r="B43" s="80" t="s">
        <v>46</v>
      </c>
      <c r="C43" s="81"/>
      <c r="D43" s="161">
        <f>'April 2020'!H43</f>
        <v>156951.9</v>
      </c>
      <c r="E43" s="28">
        <v>50.3</v>
      </c>
      <c r="F43" s="28"/>
      <c r="G43" s="28">
        <f>1000+10</f>
        <v>1010</v>
      </c>
      <c r="H43" s="159">
        <f>D43+E43+F43-G43</f>
        <v>155992.19999999998</v>
      </c>
      <c r="I43" s="23"/>
      <c r="J43" s="4"/>
      <c r="K43" s="4"/>
    </row>
    <row r="44" spans="2:17" ht="15.75" thickBot="1" x14ac:dyDescent="0.3">
      <c r="B44" s="765"/>
      <c r="C44" s="766"/>
      <c r="D44" s="29">
        <f>SUM(D38+D39+D42+D43+D41)</f>
        <v>288377.42000000004</v>
      </c>
      <c r="E44" s="46">
        <f>SUM(E38:E43)</f>
        <v>148490.21</v>
      </c>
      <c r="F44" s="30">
        <f>SUM(F39:F43)</f>
        <v>16000</v>
      </c>
      <c r="G44" s="42">
        <f>SUM(G38:G43)</f>
        <v>32061.39</v>
      </c>
      <c r="H44" s="45">
        <f>SUM(H38+H39+H42+H40+H43+H41)</f>
        <v>420806.24000000005</v>
      </c>
      <c r="I44" s="23"/>
      <c r="J44" s="6"/>
      <c r="K44" s="4"/>
      <c r="L44" s="3"/>
    </row>
    <row r="45" spans="2:17" x14ac:dyDescent="0.25">
      <c r="B45" s="191"/>
      <c r="C45" s="192"/>
      <c r="D45" s="23">
        <f>D33-D44</f>
        <v>890.78999999992084</v>
      </c>
      <c r="E45" s="23"/>
      <c r="F45" s="23"/>
      <c r="G45" s="23"/>
      <c r="H45" s="23">
        <f>G33-H44</f>
        <v>890.77999999996973</v>
      </c>
      <c r="I45" s="23"/>
      <c r="J45" s="6"/>
      <c r="K45" s="6"/>
      <c r="L45" s="3"/>
    </row>
    <row r="46" spans="2:17" x14ac:dyDescent="0.25">
      <c r="C46" s="7"/>
      <c r="D46" s="23"/>
      <c r="E46" s="23"/>
      <c r="F46" s="23"/>
      <c r="G46" s="23"/>
      <c r="H46" s="23"/>
      <c r="I46" s="23"/>
      <c r="J46" s="6"/>
    </row>
    <row r="47" spans="2:17" ht="15.75" x14ac:dyDescent="0.25">
      <c r="B47" s="767" t="s">
        <v>17</v>
      </c>
      <c r="C47" s="767"/>
      <c r="D47" s="767"/>
      <c r="E47" s="767"/>
      <c r="F47" s="768" t="s">
        <v>18</v>
      </c>
      <c r="G47" s="768"/>
      <c r="H47" s="23"/>
      <c r="I47" s="23"/>
      <c r="K47" s="6"/>
    </row>
    <row r="48" spans="2:17" ht="15.75" x14ac:dyDescent="0.25">
      <c r="B48" s="195"/>
      <c r="C48" s="195"/>
      <c r="D48" s="196"/>
      <c r="E48" s="196"/>
      <c r="F48" s="196"/>
      <c r="G48" s="196"/>
      <c r="H48" s="23"/>
      <c r="I48" s="23"/>
    </row>
    <row r="49" spans="2:17" ht="15.75" x14ac:dyDescent="0.25">
      <c r="B49" s="767" t="s">
        <v>19</v>
      </c>
      <c r="C49" s="767"/>
      <c r="D49" s="767"/>
      <c r="E49" s="767"/>
      <c r="F49" s="768" t="s">
        <v>18</v>
      </c>
      <c r="G49" s="768"/>
      <c r="H49" s="23"/>
      <c r="I49" s="23"/>
    </row>
    <row r="50" spans="2:17" x14ac:dyDescent="0.25">
      <c r="B50" s="191"/>
      <c r="C50" s="192"/>
      <c r="D50" s="3"/>
      <c r="E50" s="3"/>
      <c r="F50" s="3"/>
      <c r="G50" s="4"/>
      <c r="H50" s="3"/>
      <c r="I50" s="3"/>
      <c r="J50" s="6"/>
      <c r="K50" s="4"/>
      <c r="Q50" s="17"/>
    </row>
    <row r="51" spans="2:17" x14ac:dyDescent="0.25">
      <c r="C51" s="7"/>
      <c r="D51" s="6"/>
      <c r="E51" s="6"/>
      <c r="F51" s="6"/>
      <c r="G51" s="6"/>
      <c r="J51" s="6"/>
      <c r="K51" s="8"/>
      <c r="M51" s="3"/>
      <c r="Q51" s="17"/>
    </row>
    <row r="52" spans="2:17" x14ac:dyDescent="0.25">
      <c r="C52" s="7"/>
      <c r="D52" s="4"/>
      <c r="E52" s="6"/>
      <c r="G52" s="6"/>
      <c r="K52" s="6"/>
    </row>
  </sheetData>
  <mergeCells count="17">
    <mergeCell ref="B42:C42"/>
    <mergeCell ref="B2:H2"/>
    <mergeCell ref="B3:H3"/>
    <mergeCell ref="B5:C5"/>
    <mergeCell ref="B6:C6"/>
    <mergeCell ref="B17:C17"/>
    <mergeCell ref="B22:C22"/>
    <mergeCell ref="B28:C28"/>
    <mergeCell ref="B33:C33"/>
    <mergeCell ref="B37:C37"/>
    <mergeCell ref="B38:C38"/>
    <mergeCell ref="B39:C39"/>
    <mergeCell ref="B44:C44"/>
    <mergeCell ref="B47:E47"/>
    <mergeCell ref="F47:G47"/>
    <mergeCell ref="B49:E49"/>
    <mergeCell ref="F49:G49"/>
  </mergeCells>
  <pageMargins left="0.7" right="0.7" top="0.75" bottom="0.75" header="0.3" footer="0.3"/>
  <pageSetup scale="82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3E29B-9289-43C2-9038-2243D07D7AC9}">
  <sheetPr>
    <pageSetUpPr fitToPage="1"/>
  </sheetPr>
  <dimension ref="A1:S54"/>
  <sheetViews>
    <sheetView topLeftCell="A22" zoomScale="120" zoomScaleNormal="120" workbookViewId="0">
      <selection activeCell="F29" sqref="F29"/>
    </sheetView>
  </sheetViews>
  <sheetFormatPr defaultColWidth="9.140625" defaultRowHeight="15" x14ac:dyDescent="0.25"/>
  <cols>
    <col min="1" max="1" width="3" customWidth="1"/>
    <col min="2" max="2" width="5.7109375" customWidth="1"/>
    <col min="3" max="3" width="33.85546875" bestFit="1" customWidth="1"/>
    <col min="4" max="4" width="13.85546875" customWidth="1"/>
    <col min="5" max="5" width="12.5703125" customWidth="1"/>
    <col min="6" max="6" width="15.28515625" customWidth="1"/>
    <col min="7" max="8" width="12.5703125" customWidth="1"/>
    <col min="9" max="9" width="15.7109375" customWidth="1"/>
    <col min="10" max="10" width="14.7109375" customWidth="1"/>
    <col min="11" max="11" width="14.5703125" customWidth="1"/>
    <col min="12" max="12" width="11.28515625" customWidth="1"/>
    <col min="17" max="17" width="13" customWidth="1"/>
  </cols>
  <sheetData>
    <row r="1" spans="1:19" hidden="1" x14ac:dyDescent="0.25"/>
    <row r="2" spans="1:19" ht="21" x14ac:dyDescent="0.35">
      <c r="B2" s="771" t="s">
        <v>0</v>
      </c>
      <c r="C2" s="771"/>
      <c r="D2" s="771"/>
      <c r="E2" s="771"/>
      <c r="F2" s="771"/>
      <c r="G2" s="771"/>
      <c r="H2" s="771"/>
      <c r="I2" s="211"/>
    </row>
    <row r="3" spans="1:19" ht="18.75" x14ac:dyDescent="0.3">
      <c r="B3" s="772" t="s">
        <v>71</v>
      </c>
      <c r="C3" s="772"/>
      <c r="D3" s="772"/>
      <c r="E3" s="772"/>
      <c r="F3" s="772"/>
      <c r="G3" s="772"/>
      <c r="H3" s="772"/>
      <c r="I3" s="212"/>
    </row>
    <row r="4" spans="1:19" ht="15.75" thickBot="1" x14ac:dyDescent="0.3">
      <c r="B4" s="1"/>
      <c r="C4" s="51" t="s">
        <v>37</v>
      </c>
      <c r="D4" s="1"/>
      <c r="E4" s="1"/>
      <c r="F4" s="1"/>
      <c r="G4" s="2"/>
      <c r="J4" s="88"/>
    </row>
    <row r="5" spans="1:19" x14ac:dyDescent="0.25">
      <c r="B5" s="773" t="s">
        <v>1</v>
      </c>
      <c r="C5" s="774"/>
      <c r="D5" s="24" t="s">
        <v>2</v>
      </c>
      <c r="E5" s="24" t="s">
        <v>3</v>
      </c>
      <c r="F5" s="24" t="s">
        <v>58</v>
      </c>
      <c r="G5" s="24" t="s">
        <v>5</v>
      </c>
      <c r="H5" s="24" t="s">
        <v>6</v>
      </c>
      <c r="I5" s="50"/>
      <c r="J5" s="50"/>
    </row>
    <row r="6" spans="1:19" x14ac:dyDescent="0.25">
      <c r="B6" s="775" t="s">
        <v>7</v>
      </c>
      <c r="C6" s="776"/>
      <c r="D6" s="25">
        <f>SUM(D7:D16)</f>
        <v>117793.97000000002</v>
      </c>
      <c r="E6" s="62">
        <f>SUM(E7:E16)</f>
        <v>895.57999999999993</v>
      </c>
      <c r="F6" s="62">
        <f>SUM(F7:F16)</f>
        <v>31594.95</v>
      </c>
      <c r="G6" s="62">
        <f>SUM(G7:G16)</f>
        <v>87094.599999999991</v>
      </c>
      <c r="H6" s="63">
        <f>SUM(H7:H15)</f>
        <v>0</v>
      </c>
      <c r="I6" s="73"/>
      <c r="J6" s="73"/>
      <c r="K6" s="73"/>
      <c r="L6" s="23"/>
      <c r="Q6" s="23"/>
      <c r="S6" s="23"/>
    </row>
    <row r="7" spans="1:19" ht="15.75" customHeight="1" x14ac:dyDescent="0.25">
      <c r="B7" s="11"/>
      <c r="C7" s="22" t="s">
        <v>23</v>
      </c>
      <c r="D7" s="163">
        <f>'July 2020'!G7</f>
        <v>119354.50000000001</v>
      </c>
      <c r="E7" s="139">
        <f>113.28+674.3</f>
        <v>787.57999999999993</v>
      </c>
      <c r="F7" s="139">
        <f>187.84+522.9+1000+27027.84</f>
        <v>28738.58</v>
      </c>
      <c r="G7" s="164">
        <f>D7+E7-F7</f>
        <v>91403.500000000015</v>
      </c>
      <c r="H7" s="165"/>
      <c r="I7" s="125"/>
      <c r="J7" s="23"/>
    </row>
    <row r="8" spans="1:19" x14ac:dyDescent="0.25">
      <c r="B8" s="12"/>
      <c r="C8" s="52" t="s">
        <v>62</v>
      </c>
      <c r="D8" s="163">
        <f>'July 2020'!G8</f>
        <v>-2098.35</v>
      </c>
      <c r="E8" s="166"/>
      <c r="F8" s="154">
        <v>1597.37</v>
      </c>
      <c r="G8" s="108">
        <f t="shared" ref="G8:G16" si="0">D8+E8-F8</f>
        <v>-3695.72</v>
      </c>
      <c r="H8" s="165"/>
      <c r="I8" s="73"/>
      <c r="J8" s="149"/>
    </row>
    <row r="9" spans="1:19" hidden="1" x14ac:dyDescent="0.25">
      <c r="B9" s="12"/>
      <c r="C9" s="53" t="s">
        <v>67</v>
      </c>
      <c r="D9" s="163">
        <f>'July 2020'!G9</f>
        <v>0</v>
      </c>
      <c r="E9" s="166"/>
      <c r="F9" s="166"/>
      <c r="G9" s="164">
        <f t="shared" si="0"/>
        <v>0</v>
      </c>
      <c r="H9" s="165"/>
      <c r="I9" s="73"/>
      <c r="J9" s="71">
        <v>3231.47</v>
      </c>
      <c r="K9" s="23"/>
    </row>
    <row r="10" spans="1:19" x14ac:dyDescent="0.25">
      <c r="B10" s="12"/>
      <c r="C10" s="53" t="s">
        <v>41</v>
      </c>
      <c r="D10" s="163">
        <f>'July 2020'!G10</f>
        <v>-2129.9500000000003</v>
      </c>
      <c r="E10" s="152"/>
      <c r="F10" s="152">
        <v>1171.8499999999999</v>
      </c>
      <c r="G10" s="108">
        <f t="shared" si="0"/>
        <v>-3301.8</v>
      </c>
      <c r="H10" s="165"/>
      <c r="I10" s="73"/>
      <c r="J10" s="93"/>
      <c r="K10" s="23"/>
    </row>
    <row r="11" spans="1:19" hidden="1" x14ac:dyDescent="0.25">
      <c r="B11" s="12"/>
      <c r="C11" s="53" t="s">
        <v>29</v>
      </c>
      <c r="D11" s="163">
        <f>'July 2020'!G11</f>
        <v>0</v>
      </c>
      <c r="E11" s="70"/>
      <c r="F11" s="70"/>
      <c r="G11" s="164">
        <f t="shared" si="0"/>
        <v>0</v>
      </c>
      <c r="H11" s="165"/>
      <c r="I11" s="73"/>
      <c r="J11" s="93"/>
    </row>
    <row r="12" spans="1:19" x14ac:dyDescent="0.25">
      <c r="B12" s="12"/>
      <c r="C12" s="53" t="s">
        <v>20</v>
      </c>
      <c r="D12" s="163">
        <f>'July 2020'!G12</f>
        <v>4448.47</v>
      </c>
      <c r="E12" s="152">
        <v>101.04</v>
      </c>
      <c r="F12" s="167"/>
      <c r="G12" s="181">
        <f t="shared" si="0"/>
        <v>4549.51</v>
      </c>
      <c r="H12" s="165"/>
      <c r="I12" s="73"/>
      <c r="J12" s="23"/>
    </row>
    <row r="13" spans="1:19" x14ac:dyDescent="0.25">
      <c r="B13" s="12"/>
      <c r="C13" s="53" t="s">
        <v>22</v>
      </c>
      <c r="D13" s="163">
        <f>'July 2020'!G13</f>
        <v>-10.030000000000086</v>
      </c>
      <c r="E13" s="152">
        <v>6.96</v>
      </c>
      <c r="F13" s="167"/>
      <c r="G13" s="181">
        <f t="shared" si="0"/>
        <v>-3.0700000000000864</v>
      </c>
      <c r="H13" s="165"/>
      <c r="I13" s="73"/>
      <c r="J13" s="23"/>
    </row>
    <row r="14" spans="1:19" x14ac:dyDescent="0.25">
      <c r="B14" s="12"/>
      <c r="C14" s="53" t="s">
        <v>28</v>
      </c>
      <c r="D14" s="163">
        <f>'July 2020'!G14</f>
        <v>-2307.2300000000005</v>
      </c>
      <c r="E14" s="167"/>
      <c r="F14" s="152">
        <v>87.15</v>
      </c>
      <c r="G14" s="108">
        <f t="shared" si="0"/>
        <v>-2394.3800000000006</v>
      </c>
      <c r="H14" s="165"/>
      <c r="I14" s="73"/>
      <c r="J14" s="23"/>
    </row>
    <row r="15" spans="1:19" x14ac:dyDescent="0.25">
      <c r="A15" t="s">
        <v>26</v>
      </c>
      <c r="B15" s="12"/>
      <c r="C15" s="18" t="s">
        <v>42</v>
      </c>
      <c r="D15" s="163">
        <f>'July 2020'!G15</f>
        <v>785.18000000000006</v>
      </c>
      <c r="E15" s="166"/>
      <c r="F15" s="166"/>
      <c r="G15" s="153">
        <f t="shared" si="0"/>
        <v>785.18000000000006</v>
      </c>
      <c r="H15" s="165"/>
      <c r="I15" s="73"/>
      <c r="J15" s="23"/>
    </row>
    <row r="16" spans="1:19" x14ac:dyDescent="0.25">
      <c r="B16" s="12"/>
      <c r="C16" s="18" t="s">
        <v>43</v>
      </c>
      <c r="D16" s="163">
        <f>'July 2020'!G16</f>
        <v>-248.62000000000023</v>
      </c>
      <c r="E16" s="166"/>
      <c r="F16" s="166"/>
      <c r="G16" s="181">
        <f t="shared" si="0"/>
        <v>-248.62000000000023</v>
      </c>
      <c r="H16" s="165"/>
      <c r="I16" s="73"/>
      <c r="J16" s="73"/>
      <c r="Q16" s="23"/>
    </row>
    <row r="17" spans="2:17" x14ac:dyDescent="0.25">
      <c r="B17" s="777" t="s">
        <v>53</v>
      </c>
      <c r="C17" s="778"/>
      <c r="D17" s="141">
        <f>SUM(D18:D22)</f>
        <v>-44995.19</v>
      </c>
      <c r="E17" s="107">
        <f>SUM(E18:E22)</f>
        <v>30352</v>
      </c>
      <c r="F17" s="107">
        <f>SUM(F18:F22)</f>
        <v>3774.89</v>
      </c>
      <c r="G17" s="108">
        <f>SUM(G18:G22)</f>
        <v>-18418.080000000002</v>
      </c>
      <c r="H17" s="169"/>
      <c r="I17" s="73"/>
      <c r="J17" s="73"/>
      <c r="Q17" s="23"/>
    </row>
    <row r="18" spans="2:17" x14ac:dyDescent="0.25">
      <c r="B18" s="13"/>
      <c r="C18" s="40" t="s">
        <v>9</v>
      </c>
      <c r="D18" s="140">
        <f>'July 2020'!G18</f>
        <v>-22759.64</v>
      </c>
      <c r="E18" s="217">
        <f>18016+12336</f>
        <v>30352</v>
      </c>
      <c r="F18" s="134"/>
      <c r="G18" s="137">
        <f>D18+E18-F18</f>
        <v>7592.3600000000006</v>
      </c>
      <c r="H18" s="166"/>
      <c r="I18" s="73"/>
      <c r="J18" s="23"/>
      <c r="K18" s="4"/>
    </row>
    <row r="19" spans="2:17" x14ac:dyDescent="0.25">
      <c r="B19" s="12"/>
      <c r="C19" s="55" t="s">
        <v>8</v>
      </c>
      <c r="D19" s="140">
        <f>'July 2020'!G19</f>
        <v>-14520.39</v>
      </c>
      <c r="E19" s="167"/>
      <c r="F19" s="152">
        <f>2192.59+100.74</f>
        <v>2293.33</v>
      </c>
      <c r="G19" s="137">
        <f>D19+E19-F19</f>
        <v>-16813.72</v>
      </c>
      <c r="H19" s="170"/>
      <c r="I19" s="73"/>
      <c r="J19" s="23"/>
    </row>
    <row r="20" spans="2:17" x14ac:dyDescent="0.25">
      <c r="B20" s="12"/>
      <c r="C20" s="55" t="s">
        <v>32</v>
      </c>
      <c r="D20" s="140">
        <f>'July 2020'!G20</f>
        <v>-2118.3900000000003</v>
      </c>
      <c r="E20" s="167"/>
      <c r="F20" s="152">
        <v>275.98</v>
      </c>
      <c r="G20" s="137">
        <f t="shared" ref="G20:G22" si="1">D20+E20-F20</f>
        <v>-2394.3700000000003</v>
      </c>
      <c r="H20" s="171"/>
      <c r="I20" s="73"/>
      <c r="J20" s="23"/>
    </row>
    <row r="21" spans="2:17" x14ac:dyDescent="0.25">
      <c r="B21" s="12"/>
      <c r="C21" s="55" t="s">
        <v>67</v>
      </c>
      <c r="D21" s="140">
        <f>'July 2020'!G21</f>
        <v>-169.41</v>
      </c>
      <c r="E21" s="167"/>
      <c r="F21" s="167"/>
      <c r="G21" s="137">
        <f t="shared" si="1"/>
        <v>-169.41</v>
      </c>
      <c r="H21" s="171"/>
      <c r="I21" s="73"/>
      <c r="J21" s="23"/>
    </row>
    <row r="22" spans="2:17" x14ac:dyDescent="0.25">
      <c r="B22" s="10"/>
      <c r="C22" s="41" t="s">
        <v>38</v>
      </c>
      <c r="D22" s="140">
        <f>'July 2020'!G22</f>
        <v>-5427.3600000000006</v>
      </c>
      <c r="E22" s="151"/>
      <c r="F22" s="134">
        <v>1205.58</v>
      </c>
      <c r="G22" s="137">
        <f t="shared" si="1"/>
        <v>-6632.9400000000005</v>
      </c>
      <c r="H22" s="166"/>
      <c r="I22" s="73"/>
      <c r="J22" s="23"/>
      <c r="K22" s="4"/>
    </row>
    <row r="23" spans="2:17" x14ac:dyDescent="0.25">
      <c r="B23" s="775" t="s">
        <v>10</v>
      </c>
      <c r="C23" s="776"/>
      <c r="D23" s="141">
        <f>SUM(D24:D29)</f>
        <v>286679.13999999996</v>
      </c>
      <c r="E23" s="172">
        <f>SUM(E24:E29)</f>
        <v>0</v>
      </c>
      <c r="F23" s="111">
        <f>SUM(F24:F29)</f>
        <v>15570.98</v>
      </c>
      <c r="G23" s="111">
        <f>SUM(G24:G29)</f>
        <v>271108.15999999997</v>
      </c>
      <c r="H23" s="173">
        <f>SUM(H29:H33)</f>
        <v>0</v>
      </c>
      <c r="I23" s="73"/>
      <c r="J23" s="73"/>
      <c r="Q23" s="23"/>
    </row>
    <row r="24" spans="2:17" x14ac:dyDescent="0.25">
      <c r="B24" s="13"/>
      <c r="C24" s="37" t="s">
        <v>55</v>
      </c>
      <c r="D24" s="140">
        <f>'July 2020'!G24</f>
        <v>15136.85</v>
      </c>
      <c r="E24" s="150"/>
      <c r="F24" s="150">
        <v>4023.43</v>
      </c>
      <c r="G24" s="121">
        <f>D24+E24-F24</f>
        <v>11113.42</v>
      </c>
      <c r="H24" s="139"/>
      <c r="I24" s="73"/>
      <c r="J24" s="23"/>
      <c r="K24" s="5"/>
    </row>
    <row r="25" spans="2:17" x14ac:dyDescent="0.25">
      <c r="B25" s="10"/>
      <c r="C25" s="18" t="s">
        <v>70</v>
      </c>
      <c r="D25" s="140">
        <f>'July 2020'!G25</f>
        <v>18710</v>
      </c>
      <c r="E25" s="151"/>
      <c r="F25" s="151"/>
      <c r="G25" s="121">
        <f>D25+E25-F25</f>
        <v>18710</v>
      </c>
      <c r="H25" s="166"/>
      <c r="I25" s="73"/>
      <c r="J25" s="23"/>
      <c r="K25" s="5"/>
    </row>
    <row r="26" spans="2:17" x14ac:dyDescent="0.25">
      <c r="B26" s="11"/>
      <c r="C26" s="19" t="s">
        <v>34</v>
      </c>
      <c r="D26" s="140">
        <f>'July 2020'!G26</f>
        <v>15845.620000000004</v>
      </c>
      <c r="E26" s="151"/>
      <c r="F26" s="182">
        <f>11355.49+192.06</f>
        <v>11547.55</v>
      </c>
      <c r="G26" s="121">
        <f t="shared" ref="G26:G29" si="2">D26+E26-F26</f>
        <v>4298.0700000000052</v>
      </c>
      <c r="H26" s="166"/>
      <c r="I26" s="74"/>
      <c r="J26" s="23"/>
      <c r="K26" s="23"/>
    </row>
    <row r="27" spans="2:17" x14ac:dyDescent="0.25">
      <c r="B27" s="11"/>
      <c r="C27" s="19" t="s">
        <v>39</v>
      </c>
      <c r="D27" s="140">
        <f>'July 2020'!G27</f>
        <v>102500</v>
      </c>
      <c r="E27" s="151"/>
      <c r="F27" s="151"/>
      <c r="G27" s="121">
        <f t="shared" si="2"/>
        <v>102500</v>
      </c>
      <c r="H27" s="166"/>
      <c r="I27" s="74"/>
      <c r="J27" s="23"/>
      <c r="K27" s="23"/>
    </row>
    <row r="28" spans="2:17" x14ac:dyDescent="0.25">
      <c r="B28" s="11"/>
      <c r="C28" s="19" t="s">
        <v>65</v>
      </c>
      <c r="D28" s="140">
        <f>'July 2020'!G28</f>
        <v>134492</v>
      </c>
      <c r="E28" s="151"/>
      <c r="F28" s="151"/>
      <c r="G28" s="121">
        <f t="shared" si="2"/>
        <v>134492</v>
      </c>
      <c r="H28" s="166"/>
      <c r="I28" s="74"/>
      <c r="J28" s="23"/>
      <c r="K28" s="23"/>
    </row>
    <row r="29" spans="2:17" x14ac:dyDescent="0.25">
      <c r="B29" s="10"/>
      <c r="C29" s="18" t="s">
        <v>44</v>
      </c>
      <c r="D29" s="140">
        <f>'July 2020'!G29</f>
        <v>-5.3299999999999841</v>
      </c>
      <c r="E29" s="151"/>
      <c r="F29" s="134"/>
      <c r="G29" s="121">
        <f t="shared" si="2"/>
        <v>-5.3299999999999841</v>
      </c>
      <c r="H29" s="166"/>
      <c r="I29" s="73"/>
      <c r="J29" s="23"/>
      <c r="K29" s="5"/>
    </row>
    <row r="30" spans="2:17" x14ac:dyDescent="0.25">
      <c r="B30" s="775" t="s">
        <v>35</v>
      </c>
      <c r="C30" s="776"/>
      <c r="D30" s="141">
        <f>SUM(D31:D34)</f>
        <v>58563.020000000004</v>
      </c>
      <c r="E30" s="172">
        <f>SUM(E31:E34)</f>
        <v>0</v>
      </c>
      <c r="F30" s="111">
        <f>SUM(F31:F34)</f>
        <v>1600.0800000000002</v>
      </c>
      <c r="G30" s="111">
        <f>SUM(G31:G34)</f>
        <v>56962.94</v>
      </c>
      <c r="H30" s="173">
        <f t="shared" ref="H30" si="3">SUM(H31:H33)</f>
        <v>0</v>
      </c>
      <c r="I30" s="73"/>
      <c r="J30" s="73"/>
      <c r="Q30" s="23"/>
    </row>
    <row r="31" spans="2:17" x14ac:dyDescent="0.25">
      <c r="B31" s="10"/>
      <c r="C31" s="18" t="s">
        <v>69</v>
      </c>
      <c r="D31" s="140">
        <f>'July 2020'!G31</f>
        <v>35556.300000000003</v>
      </c>
      <c r="E31" s="174"/>
      <c r="F31" s="183">
        <f>1022.86+275</f>
        <v>1297.8600000000001</v>
      </c>
      <c r="G31" s="119">
        <f t="shared" ref="G31:G34" si="4">D31+E31-F31</f>
        <v>34258.44</v>
      </c>
      <c r="H31" s="166"/>
      <c r="I31" s="73"/>
      <c r="J31" s="23"/>
      <c r="K31" s="5"/>
    </row>
    <row r="32" spans="2:17" x14ac:dyDescent="0.25">
      <c r="B32" s="10"/>
      <c r="C32" s="20" t="s">
        <v>64</v>
      </c>
      <c r="D32" s="140">
        <f>'July 2020'!G32</f>
        <v>23006.719999999998</v>
      </c>
      <c r="E32" s="174"/>
      <c r="F32" s="134">
        <v>302.22000000000003</v>
      </c>
      <c r="G32" s="119">
        <f t="shared" si="4"/>
        <v>22704.499999999996</v>
      </c>
      <c r="H32" s="166"/>
      <c r="I32" s="73"/>
      <c r="J32" s="93"/>
      <c r="K32" s="3"/>
      <c r="Q32" s="148"/>
    </row>
    <row r="33" spans="2:17" x14ac:dyDescent="0.25">
      <c r="B33" s="10"/>
      <c r="C33" s="21" t="s">
        <v>33</v>
      </c>
      <c r="D33" s="140">
        <f>'July 2020'!G33</f>
        <v>0</v>
      </c>
      <c r="E33" s="174"/>
      <c r="F33" s="151"/>
      <c r="G33" s="151">
        <f t="shared" si="4"/>
        <v>0</v>
      </c>
      <c r="H33" s="166"/>
      <c r="I33" s="73"/>
      <c r="J33" s="23"/>
      <c r="K33" s="4"/>
      <c r="Q33" s="149"/>
    </row>
    <row r="34" spans="2:17" ht="15.75" thickBot="1" x14ac:dyDescent="0.3">
      <c r="C34" s="104" t="s">
        <v>47</v>
      </c>
      <c r="D34" s="140">
        <f>'June 2020'!G33</f>
        <v>0</v>
      </c>
      <c r="E34" s="174"/>
      <c r="F34" s="151"/>
      <c r="G34" s="151">
        <f t="shared" si="4"/>
        <v>0</v>
      </c>
      <c r="H34" s="166"/>
      <c r="I34" s="73"/>
      <c r="J34" s="23"/>
      <c r="K34" s="4"/>
      <c r="Q34" s="149"/>
    </row>
    <row r="35" spans="2:17" ht="15.75" thickBot="1" x14ac:dyDescent="0.3">
      <c r="B35" s="779" t="s">
        <v>11</v>
      </c>
      <c r="C35" s="766"/>
      <c r="D35" s="38">
        <f>D6+D17+D23+D30</f>
        <v>418040.94</v>
      </c>
      <c r="E35" s="203">
        <f>SUM(E23,E17,E6,E30)</f>
        <v>31247.58</v>
      </c>
      <c r="F35" s="203">
        <f>SUM(F23,F17,F6,F30)</f>
        <v>52540.9</v>
      </c>
      <c r="G35" s="44">
        <f>SUM(G23,G17,G6,G30)</f>
        <v>396747.61999999994</v>
      </c>
      <c r="H35" s="78">
        <f>SUM(H6,H16,H23,H30)</f>
        <v>0</v>
      </c>
      <c r="I35" s="23"/>
      <c r="J35" s="23"/>
      <c r="K35" s="6"/>
    </row>
    <row r="36" spans="2:17" hidden="1" x14ac:dyDescent="0.25">
      <c r="B36" s="213"/>
      <c r="C36" s="214"/>
      <c r="D36" s="23">
        <f>SUM(D17:D22)</f>
        <v>-89990.38</v>
      </c>
      <c r="E36" s="23"/>
      <c r="F36" s="23"/>
      <c r="G36" s="23"/>
      <c r="H36" s="49"/>
      <c r="I36" s="23"/>
      <c r="L36" t="s">
        <v>12</v>
      </c>
      <c r="M36">
        <v>42.43</v>
      </c>
    </row>
    <row r="37" spans="2:17" ht="15.75" hidden="1" thickBot="1" x14ac:dyDescent="0.3">
      <c r="B37" s="9" t="s">
        <v>25</v>
      </c>
      <c r="C37" s="15"/>
      <c r="D37" s="33" t="e">
        <f>SUM(D35,#REF!)</f>
        <v>#REF!</v>
      </c>
      <c r="E37" s="34" t="e">
        <f>SUM(E35,#REF!)</f>
        <v>#REF!</v>
      </c>
      <c r="F37" s="34" t="e">
        <f>SUM(F35,#REF!)</f>
        <v>#REF!</v>
      </c>
      <c r="G37" s="35" t="e">
        <f>SUM(G35,#REF!)</f>
        <v>#REF!</v>
      </c>
      <c r="H37" s="49"/>
      <c r="I37" s="23"/>
      <c r="J37" s="6"/>
      <c r="K37" s="4">
        <v>206730.35</v>
      </c>
    </row>
    <row r="38" spans="2:17" ht="15.75" thickBot="1" x14ac:dyDescent="0.3">
      <c r="C38" s="7"/>
      <c r="D38" s="23"/>
      <c r="E38" s="23"/>
      <c r="F38" s="23"/>
      <c r="G38" s="23"/>
      <c r="H38" s="49"/>
      <c r="I38" s="64"/>
      <c r="J38" s="6"/>
      <c r="K38" s="4"/>
      <c r="Q38" s="23"/>
    </row>
    <row r="39" spans="2:17" ht="15.75" thickBot="1" x14ac:dyDescent="0.3">
      <c r="B39" s="780" t="s">
        <v>13</v>
      </c>
      <c r="C39" s="781"/>
      <c r="D39" s="31" t="s">
        <v>2</v>
      </c>
      <c r="E39" s="31" t="s">
        <v>3</v>
      </c>
      <c r="F39" s="31" t="s">
        <v>24</v>
      </c>
      <c r="G39" s="31" t="s">
        <v>27</v>
      </c>
      <c r="H39" s="31" t="s">
        <v>5</v>
      </c>
      <c r="I39" s="50"/>
      <c r="J39" s="6"/>
      <c r="K39" s="8"/>
    </row>
    <row r="40" spans="2:17" ht="15.75" thickBot="1" x14ac:dyDescent="0.3">
      <c r="B40" s="769" t="s">
        <v>14</v>
      </c>
      <c r="C40" s="770"/>
      <c r="D40" s="161">
        <f>'July 2020'!H40</f>
        <v>70.640000000000015</v>
      </c>
      <c r="E40" s="162"/>
      <c r="F40" s="162"/>
      <c r="G40" s="162">
        <v>9.3000000000000007</v>
      </c>
      <c r="H40" s="114">
        <f t="shared" ref="H40:H42" si="5">D40+E40+F40-G40</f>
        <v>61.340000000000018</v>
      </c>
      <c r="I40" s="23"/>
      <c r="K40" s="6"/>
      <c r="L40" s="4"/>
    </row>
    <row r="41" spans="2:17" ht="15.75" thickBot="1" x14ac:dyDescent="0.3">
      <c r="B41" s="782" t="s">
        <v>15</v>
      </c>
      <c r="C41" s="783"/>
      <c r="D41" s="161">
        <f>'July 2020'!H41</f>
        <v>52533.61</v>
      </c>
      <c r="E41" s="115"/>
      <c r="F41" s="115"/>
      <c r="G41" s="115">
        <v>37410.410000000003</v>
      </c>
      <c r="H41" s="155">
        <f>D41+E41+F41-G41</f>
        <v>15123.199999999997</v>
      </c>
      <c r="I41" s="23"/>
      <c r="J41" s="65"/>
      <c r="K41" s="6"/>
    </row>
    <row r="42" spans="2:17" ht="15.75" thickBot="1" x14ac:dyDescent="0.3">
      <c r="B42" s="14"/>
      <c r="C42" s="16" t="s">
        <v>21</v>
      </c>
      <c r="D42" s="161">
        <f>'July 2020'!H42</f>
        <v>0</v>
      </c>
      <c r="E42" s="56"/>
      <c r="F42" s="56"/>
      <c r="G42" s="56"/>
      <c r="H42" s="156">
        <f t="shared" si="5"/>
        <v>0</v>
      </c>
      <c r="I42" s="23"/>
      <c r="J42" s="65"/>
      <c r="K42" s="4"/>
    </row>
    <row r="43" spans="2:17" ht="15.75" thickBot="1" x14ac:dyDescent="0.3">
      <c r="B43" s="14"/>
      <c r="C43" s="16" t="s">
        <v>40</v>
      </c>
      <c r="D43" s="161">
        <f>'July 2020'!H43</f>
        <v>-2560.2800000000007</v>
      </c>
      <c r="E43" s="160">
        <v>2332.91</v>
      </c>
      <c r="F43" s="56"/>
      <c r="G43" s="160">
        <v>2823.47</v>
      </c>
      <c r="H43" s="157">
        <f>D43+E43+F43-G43</f>
        <v>-3050.8400000000006</v>
      </c>
      <c r="I43" s="23"/>
      <c r="J43" s="4"/>
      <c r="K43" s="4"/>
    </row>
    <row r="44" spans="2:17" ht="15.75" thickBot="1" x14ac:dyDescent="0.3">
      <c r="B44" s="769" t="s">
        <v>16</v>
      </c>
      <c r="C44" s="770"/>
      <c r="D44" s="161">
        <f>'July 2020'!H44</f>
        <v>188187.24000000008</v>
      </c>
      <c r="E44" s="61">
        <f>17000+60.37+1000</f>
        <v>18060.37</v>
      </c>
      <c r="F44" s="61"/>
      <c r="G44" s="61">
        <v>500</v>
      </c>
      <c r="H44" s="158">
        <f>D44+E44-F44-G44</f>
        <v>205747.61000000007</v>
      </c>
      <c r="I44" s="23"/>
      <c r="J44" s="4"/>
      <c r="K44" s="4"/>
    </row>
    <row r="45" spans="2:17" ht="15.75" thickBot="1" x14ac:dyDescent="0.3">
      <c r="B45" s="80" t="s">
        <v>46</v>
      </c>
      <c r="C45" s="81"/>
      <c r="D45" s="161">
        <f>'July 2020'!H45</f>
        <v>179087.24999999997</v>
      </c>
      <c r="E45" s="28">
        <v>52.91</v>
      </c>
      <c r="F45" s="28"/>
      <c r="G45" s="28">
        <v>1000</v>
      </c>
      <c r="H45" s="159">
        <f>D45+E45+F45-G45</f>
        <v>178140.15999999997</v>
      </c>
      <c r="I45" s="23"/>
      <c r="J45" s="4"/>
      <c r="K45" s="4"/>
    </row>
    <row r="46" spans="2:17" ht="15.75" thickBot="1" x14ac:dyDescent="0.3">
      <c r="B46" s="765"/>
      <c r="C46" s="766"/>
      <c r="D46" s="29">
        <f>SUM(D40+D41+D44+D45+D43+D42)</f>
        <v>417318.46</v>
      </c>
      <c r="E46" s="204">
        <f>SUM(E40:E45)</f>
        <v>20446.189999999999</v>
      </c>
      <c r="F46" s="30">
        <f>SUM(F40:F45)</f>
        <v>0</v>
      </c>
      <c r="G46" s="204">
        <f>SUM(G40:G45)</f>
        <v>41743.180000000008</v>
      </c>
      <c r="H46" s="45">
        <f>SUM(H40+H41+H44+H42+H45+H43)</f>
        <v>396021.47000000003</v>
      </c>
      <c r="I46" s="23"/>
      <c r="J46" s="6"/>
      <c r="K46" s="4"/>
      <c r="L46" s="3"/>
    </row>
    <row r="47" spans="2:17" x14ac:dyDescent="0.25">
      <c r="B47" s="213"/>
      <c r="C47" s="214"/>
      <c r="D47" s="23">
        <f>D35-D46</f>
        <v>722.47999999998137</v>
      </c>
      <c r="E47" s="23"/>
      <c r="F47" s="23"/>
      <c r="G47" s="23"/>
      <c r="H47" s="23">
        <f>G35-H46</f>
        <v>726.14999999990687</v>
      </c>
      <c r="I47" s="23"/>
      <c r="J47" s="6"/>
      <c r="K47" s="6"/>
      <c r="L47" s="3"/>
    </row>
    <row r="48" spans="2:17" x14ac:dyDescent="0.25">
      <c r="C48" s="7"/>
      <c r="D48" s="23"/>
      <c r="E48" s="23"/>
      <c r="F48" s="23"/>
      <c r="G48" s="23"/>
      <c r="H48" s="23"/>
      <c r="I48" s="23"/>
      <c r="J48" s="6"/>
    </row>
    <row r="49" spans="2:17" ht="15.75" x14ac:dyDescent="0.25">
      <c r="B49" s="767" t="s">
        <v>17</v>
      </c>
      <c r="C49" s="767"/>
      <c r="D49" s="767"/>
      <c r="E49" s="767"/>
      <c r="F49" s="768" t="s">
        <v>18</v>
      </c>
      <c r="G49" s="768"/>
      <c r="H49" s="23"/>
      <c r="I49" s="23"/>
      <c r="K49" s="6"/>
    </row>
    <row r="50" spans="2:17" ht="15.75" x14ac:dyDescent="0.25">
      <c r="B50" s="215"/>
      <c r="C50" s="215"/>
      <c r="D50" s="216"/>
      <c r="E50" s="216"/>
      <c r="F50" s="216"/>
      <c r="G50" s="216"/>
      <c r="H50" s="23"/>
      <c r="I50" s="23"/>
    </row>
    <row r="51" spans="2:17" ht="15.75" x14ac:dyDescent="0.25">
      <c r="B51" s="767" t="s">
        <v>19</v>
      </c>
      <c r="C51" s="767"/>
      <c r="D51" s="767"/>
      <c r="E51" s="767"/>
      <c r="F51" s="768" t="s">
        <v>18</v>
      </c>
      <c r="G51" s="768"/>
      <c r="H51" s="23"/>
      <c r="I51" s="23"/>
    </row>
    <row r="52" spans="2:17" x14ac:dyDescent="0.25">
      <c r="B52" s="213"/>
      <c r="C52" s="214"/>
      <c r="D52" s="3"/>
      <c r="E52" s="3"/>
      <c r="F52" s="3"/>
      <c r="G52" s="4"/>
      <c r="H52" s="3"/>
      <c r="I52" s="3"/>
      <c r="J52" s="6"/>
      <c r="K52" s="4"/>
      <c r="Q52" s="17"/>
    </row>
    <row r="53" spans="2:17" x14ac:dyDescent="0.25">
      <c r="C53" s="7"/>
      <c r="D53" s="6"/>
      <c r="E53" s="6"/>
      <c r="F53" s="6"/>
      <c r="G53" s="6"/>
      <c r="J53" s="6"/>
      <c r="K53" s="8"/>
      <c r="M53" s="3"/>
      <c r="Q53" s="17"/>
    </row>
    <row r="54" spans="2:17" x14ac:dyDescent="0.25">
      <c r="C54" s="7"/>
      <c r="D54" s="4"/>
      <c r="E54" s="6"/>
      <c r="G54" s="6"/>
      <c r="K54" s="6"/>
    </row>
  </sheetData>
  <mergeCells count="17">
    <mergeCell ref="B46:C46"/>
    <mergeCell ref="B49:E49"/>
    <mergeCell ref="F49:G49"/>
    <mergeCell ref="B51:E51"/>
    <mergeCell ref="F51:G51"/>
    <mergeCell ref="B44:C44"/>
    <mergeCell ref="B2:H2"/>
    <mergeCell ref="B3:H3"/>
    <mergeCell ref="B5:C5"/>
    <mergeCell ref="B6:C6"/>
    <mergeCell ref="B17:C17"/>
    <mergeCell ref="B23:C23"/>
    <mergeCell ref="B30:C30"/>
    <mergeCell ref="B35:C35"/>
    <mergeCell ref="B39:C39"/>
    <mergeCell ref="B40:C40"/>
    <mergeCell ref="B41:C41"/>
  </mergeCells>
  <pageMargins left="0.7" right="0.7" top="0.75" bottom="0.75" header="0.3" footer="0.3"/>
  <pageSetup scale="82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1C8A2-17CB-401B-9FA6-214CBF6153CA}">
  <sheetPr>
    <pageSetUpPr fitToPage="1"/>
  </sheetPr>
  <dimension ref="A1:S54"/>
  <sheetViews>
    <sheetView topLeftCell="A32" zoomScale="130" zoomScaleNormal="130" workbookViewId="0">
      <selection activeCell="G13" sqref="G13"/>
    </sheetView>
  </sheetViews>
  <sheetFormatPr defaultColWidth="9.140625" defaultRowHeight="15" x14ac:dyDescent="0.25"/>
  <cols>
    <col min="1" max="1" width="3" customWidth="1"/>
    <col min="2" max="2" width="5.7109375" customWidth="1"/>
    <col min="3" max="3" width="33.85546875" bestFit="1" customWidth="1"/>
    <col min="4" max="4" width="13.85546875" customWidth="1"/>
    <col min="5" max="5" width="12.5703125" customWidth="1"/>
    <col min="6" max="6" width="15.28515625" customWidth="1"/>
    <col min="7" max="8" width="12.5703125" customWidth="1"/>
    <col min="9" max="9" width="15.7109375" customWidth="1"/>
    <col min="10" max="10" width="14.7109375" customWidth="1"/>
    <col min="11" max="11" width="14.5703125" customWidth="1"/>
    <col min="12" max="12" width="11.28515625" customWidth="1"/>
    <col min="17" max="17" width="13" customWidth="1"/>
  </cols>
  <sheetData>
    <row r="1" spans="1:19" hidden="1" x14ac:dyDescent="0.25"/>
    <row r="2" spans="1:19" ht="21" x14ac:dyDescent="0.35">
      <c r="B2" s="771" t="s">
        <v>0</v>
      </c>
      <c r="C2" s="771"/>
      <c r="D2" s="771"/>
      <c r="E2" s="771"/>
      <c r="F2" s="771"/>
      <c r="G2" s="771"/>
      <c r="H2" s="771"/>
      <c r="I2" s="218"/>
    </row>
    <row r="3" spans="1:19" ht="18.75" x14ac:dyDescent="0.3">
      <c r="B3" s="772" t="s">
        <v>72</v>
      </c>
      <c r="C3" s="772"/>
      <c r="D3" s="772"/>
      <c r="E3" s="772"/>
      <c r="F3" s="772"/>
      <c r="G3" s="772"/>
      <c r="H3" s="772"/>
      <c r="I3" s="219"/>
    </row>
    <row r="4" spans="1:19" ht="15.75" thickBot="1" x14ac:dyDescent="0.3">
      <c r="B4" s="1"/>
      <c r="C4" s="51" t="s">
        <v>37</v>
      </c>
      <c r="D4" s="1"/>
      <c r="E4" s="1"/>
      <c r="F4" s="1"/>
      <c r="G4" s="2"/>
      <c r="J4" s="88"/>
    </row>
    <row r="5" spans="1:19" x14ac:dyDescent="0.25">
      <c r="B5" s="773" t="s">
        <v>1</v>
      </c>
      <c r="C5" s="774"/>
      <c r="D5" s="24" t="s">
        <v>2</v>
      </c>
      <c r="E5" s="24" t="s">
        <v>3</v>
      </c>
      <c r="F5" s="24" t="s">
        <v>58</v>
      </c>
      <c r="G5" s="24" t="s">
        <v>5</v>
      </c>
      <c r="H5" s="24" t="s">
        <v>6</v>
      </c>
      <c r="I5" s="50"/>
      <c r="J5" s="50"/>
    </row>
    <row r="6" spans="1:19" x14ac:dyDescent="0.25">
      <c r="B6" s="775" t="s">
        <v>7</v>
      </c>
      <c r="C6" s="776"/>
      <c r="D6" s="25">
        <f>SUM(D7:D16)</f>
        <v>87094.599999999991</v>
      </c>
      <c r="E6" s="62">
        <f>SUM(E7:E16)</f>
        <v>221.49</v>
      </c>
      <c r="F6" s="62">
        <f>SUM(F7:F16)</f>
        <v>-24931.41</v>
      </c>
      <c r="G6" s="62">
        <f>SUM(G7:G16)</f>
        <v>112247.50000000001</v>
      </c>
      <c r="H6" s="63">
        <f>SUM(H7:H15)</f>
        <v>0</v>
      </c>
      <c r="I6" s="73"/>
      <c r="J6" s="73"/>
      <c r="K6" s="73"/>
      <c r="L6" s="23"/>
      <c r="Q6" s="23"/>
      <c r="S6" s="23"/>
    </row>
    <row r="7" spans="1:19" ht="15.75" customHeight="1" x14ac:dyDescent="0.25">
      <c r="B7" s="11"/>
      <c r="C7" s="22" t="s">
        <v>23</v>
      </c>
      <c r="D7" s="163">
        <f>'August 2020'!G7</f>
        <v>91403.500000000015</v>
      </c>
      <c r="E7" s="139">
        <v>113.5</v>
      </c>
      <c r="F7" s="139">
        <f>1000+2440.92+450.28-33205.05+150+160</f>
        <v>-29003.850000000002</v>
      </c>
      <c r="G7" s="164">
        <f>D7+E7-F7</f>
        <v>120520.85000000002</v>
      </c>
      <c r="H7" s="165"/>
      <c r="I7" s="125"/>
      <c r="J7" s="23"/>
    </row>
    <row r="8" spans="1:19" x14ac:dyDescent="0.25">
      <c r="B8" s="12"/>
      <c r="C8" s="52" t="s">
        <v>62</v>
      </c>
      <c r="D8" s="163">
        <f>'August 2020'!G8</f>
        <v>-3695.72</v>
      </c>
      <c r="E8" s="166"/>
      <c r="F8" s="154">
        <v>1876.13</v>
      </c>
      <c r="G8" s="108">
        <f t="shared" ref="G8:G16" si="0">D8+E8-F8</f>
        <v>-5571.85</v>
      </c>
      <c r="H8" s="165"/>
      <c r="I8" s="73"/>
      <c r="J8" s="149"/>
    </row>
    <row r="9" spans="1:19" hidden="1" x14ac:dyDescent="0.25">
      <c r="B9" s="12"/>
      <c r="C9" s="53" t="s">
        <v>67</v>
      </c>
      <c r="D9" s="163">
        <f>'August 2020'!G9</f>
        <v>0</v>
      </c>
      <c r="E9" s="166"/>
      <c r="F9" s="166"/>
      <c r="G9" s="164">
        <f t="shared" si="0"/>
        <v>0</v>
      </c>
      <c r="H9" s="165"/>
      <c r="I9" s="73"/>
      <c r="J9" s="71">
        <v>3231.47</v>
      </c>
      <c r="K9" s="23"/>
    </row>
    <row r="10" spans="1:19" x14ac:dyDescent="0.25">
      <c r="B10" s="12"/>
      <c r="C10" s="53" t="s">
        <v>41</v>
      </c>
      <c r="D10" s="163">
        <f>'August 2020'!G10</f>
        <v>-3301.8</v>
      </c>
      <c r="E10" s="152"/>
      <c r="F10" s="152">
        <v>2151.2600000000002</v>
      </c>
      <c r="G10" s="108">
        <f t="shared" si="0"/>
        <v>-5453.06</v>
      </c>
      <c r="H10" s="165"/>
      <c r="I10" s="73"/>
      <c r="J10" s="93"/>
      <c r="K10" s="23"/>
    </row>
    <row r="11" spans="1:19" hidden="1" x14ac:dyDescent="0.25">
      <c r="B11" s="12"/>
      <c r="C11" s="53" t="s">
        <v>29</v>
      </c>
      <c r="D11" s="163">
        <f>'August 2020'!G11</f>
        <v>0</v>
      </c>
      <c r="E11" s="70"/>
      <c r="F11" s="70"/>
      <c r="G11" s="164">
        <f t="shared" si="0"/>
        <v>0</v>
      </c>
      <c r="H11" s="165"/>
      <c r="I11" s="73"/>
      <c r="J11" s="93"/>
    </row>
    <row r="12" spans="1:19" x14ac:dyDescent="0.25">
      <c r="B12" s="12"/>
      <c r="C12" s="53" t="s">
        <v>20</v>
      </c>
      <c r="D12" s="163">
        <f>'August 2020'!G12</f>
        <v>4549.51</v>
      </c>
      <c r="E12" s="152">
        <v>101.04</v>
      </c>
      <c r="F12" s="167"/>
      <c r="G12" s="181">
        <f t="shared" si="0"/>
        <v>4650.55</v>
      </c>
      <c r="H12" s="165"/>
      <c r="I12" s="73"/>
      <c r="J12" s="23"/>
    </row>
    <row r="13" spans="1:19" x14ac:dyDescent="0.25">
      <c r="B13" s="12"/>
      <c r="C13" s="53" t="s">
        <v>22</v>
      </c>
      <c r="D13" s="163">
        <f>'August 2020'!G13</f>
        <v>-3.0700000000000864</v>
      </c>
      <c r="E13" s="152">
        <v>6.95</v>
      </c>
      <c r="F13" s="167">
        <v>16</v>
      </c>
      <c r="G13" s="181">
        <f t="shared" si="0"/>
        <v>-12.120000000000086</v>
      </c>
      <c r="H13" s="165"/>
      <c r="I13" s="73"/>
      <c r="J13" s="23"/>
    </row>
    <row r="14" spans="1:19" x14ac:dyDescent="0.25">
      <c r="B14" s="12"/>
      <c r="C14" s="53" t="s">
        <v>28</v>
      </c>
      <c r="D14" s="163">
        <f>'August 2020'!G14</f>
        <v>-2394.3800000000006</v>
      </c>
      <c r="E14" s="167"/>
      <c r="F14" s="152">
        <v>29.05</v>
      </c>
      <c r="G14" s="108">
        <f t="shared" si="0"/>
        <v>-2423.4300000000007</v>
      </c>
      <c r="H14" s="165"/>
      <c r="I14" s="73"/>
      <c r="J14" s="23"/>
    </row>
    <row r="15" spans="1:19" x14ac:dyDescent="0.25">
      <c r="A15" t="s">
        <v>26</v>
      </c>
      <c r="B15" s="12"/>
      <c r="C15" s="18" t="s">
        <v>42</v>
      </c>
      <c r="D15" s="163">
        <f>'August 2020'!G15</f>
        <v>785.18000000000006</v>
      </c>
      <c r="E15" s="166"/>
      <c r="F15" s="166"/>
      <c r="G15" s="153">
        <f t="shared" si="0"/>
        <v>785.18000000000006</v>
      </c>
      <c r="H15" s="165"/>
      <c r="I15" s="73"/>
      <c r="J15" s="23"/>
    </row>
    <row r="16" spans="1:19" x14ac:dyDescent="0.25">
      <c r="B16" s="12"/>
      <c r="C16" s="18" t="s">
        <v>43</v>
      </c>
      <c r="D16" s="163">
        <f>'August 2020'!G16</f>
        <v>-248.62000000000023</v>
      </c>
      <c r="E16" s="166"/>
      <c r="F16" s="166"/>
      <c r="G16" s="181">
        <f t="shared" si="0"/>
        <v>-248.62000000000023</v>
      </c>
      <c r="H16" s="165"/>
      <c r="I16" s="73"/>
      <c r="J16" s="73"/>
      <c r="Q16" s="23"/>
    </row>
    <row r="17" spans="2:17" x14ac:dyDescent="0.25">
      <c r="B17" s="777" t="s">
        <v>53</v>
      </c>
      <c r="C17" s="778"/>
      <c r="D17" s="141">
        <f>SUM(D18:D22)</f>
        <v>-18418.080000000002</v>
      </c>
      <c r="E17" s="107">
        <f>SUM(E18:E22)</f>
        <v>0</v>
      </c>
      <c r="F17" s="107">
        <f>SUM(F18:F22)</f>
        <v>3210.2799999999997</v>
      </c>
      <c r="G17" s="108">
        <f>SUM(G18:G22)</f>
        <v>-21628.36</v>
      </c>
      <c r="H17" s="169"/>
      <c r="I17" s="73"/>
      <c r="J17" s="73"/>
      <c r="Q17" s="23"/>
    </row>
    <row r="18" spans="2:17" x14ac:dyDescent="0.25">
      <c r="B18" s="13"/>
      <c r="C18" s="40" t="s">
        <v>9</v>
      </c>
      <c r="D18" s="140">
        <f>'August 2020'!G18</f>
        <v>7592.3600000000006</v>
      </c>
      <c r="E18" s="217"/>
      <c r="F18" s="134"/>
      <c r="G18" s="137">
        <f>D18+E18-F18</f>
        <v>7592.3600000000006</v>
      </c>
      <c r="H18" s="166"/>
      <c r="I18" s="73"/>
      <c r="J18" s="23"/>
      <c r="K18" s="4"/>
    </row>
    <row r="19" spans="2:17" x14ac:dyDescent="0.25">
      <c r="B19" s="12"/>
      <c r="C19" s="55" t="s">
        <v>8</v>
      </c>
      <c r="D19" s="140">
        <f>'August 2020'!G19</f>
        <v>-16813.72</v>
      </c>
      <c r="E19" s="167"/>
      <c r="F19" s="152">
        <v>1191.3</v>
      </c>
      <c r="G19" s="137">
        <f>D19+E19-F19</f>
        <v>-18005.02</v>
      </c>
      <c r="H19" s="170"/>
      <c r="I19" s="73"/>
      <c r="J19" s="23"/>
    </row>
    <row r="20" spans="2:17" x14ac:dyDescent="0.25">
      <c r="B20" s="12"/>
      <c r="C20" s="55" t="s">
        <v>32</v>
      </c>
      <c r="D20" s="140">
        <f>'August 2020'!G20</f>
        <v>-2394.3700000000003</v>
      </c>
      <c r="E20" s="167"/>
      <c r="F20" s="152">
        <v>508.38</v>
      </c>
      <c r="G20" s="137">
        <f t="shared" ref="G20:G22" si="1">D20+E20-F20</f>
        <v>-2902.7500000000005</v>
      </c>
      <c r="H20" s="171"/>
      <c r="I20" s="73"/>
      <c r="J20" s="23"/>
    </row>
    <row r="21" spans="2:17" x14ac:dyDescent="0.25">
      <c r="B21" s="12"/>
      <c r="C21" s="55" t="s">
        <v>67</v>
      </c>
      <c r="D21" s="140">
        <f>'August 2020'!G21</f>
        <v>-169.41</v>
      </c>
      <c r="E21" s="167"/>
      <c r="F21" s="167"/>
      <c r="G21" s="137">
        <f t="shared" si="1"/>
        <v>-169.41</v>
      </c>
      <c r="H21" s="171"/>
      <c r="I21" s="73"/>
      <c r="J21" s="23"/>
    </row>
    <row r="22" spans="2:17" x14ac:dyDescent="0.25">
      <c r="B22" s="10"/>
      <c r="C22" s="41" t="s">
        <v>38</v>
      </c>
      <c r="D22" s="140">
        <f>'August 2020'!G22</f>
        <v>-6632.9400000000005</v>
      </c>
      <c r="E22" s="151"/>
      <c r="F22" s="134">
        <v>1510.6</v>
      </c>
      <c r="G22" s="137">
        <f t="shared" si="1"/>
        <v>-8143.5400000000009</v>
      </c>
      <c r="H22" s="166">
        <v>8500</v>
      </c>
      <c r="I22" s="73"/>
      <c r="J22" s="23"/>
      <c r="K22" s="4"/>
    </row>
    <row r="23" spans="2:17" x14ac:dyDescent="0.25">
      <c r="B23" s="775" t="s">
        <v>10</v>
      </c>
      <c r="C23" s="776"/>
      <c r="D23" s="141">
        <f>SUM(D24:D29)</f>
        <v>271108.15999999997</v>
      </c>
      <c r="E23" s="172">
        <f>SUM(E24:E29)</f>
        <v>0</v>
      </c>
      <c r="F23" s="111">
        <f>SUM(F24:F29)</f>
        <v>12972.2</v>
      </c>
      <c r="G23" s="111">
        <f>SUM(G24:G29)</f>
        <v>258135.96000000002</v>
      </c>
      <c r="H23" s="173">
        <f>SUM(H29:H33)</f>
        <v>0</v>
      </c>
      <c r="I23" s="73"/>
      <c r="J23" s="73"/>
      <c r="Q23" s="23"/>
    </row>
    <row r="24" spans="2:17" x14ac:dyDescent="0.25">
      <c r="B24" s="13"/>
      <c r="C24" s="37" t="s">
        <v>55</v>
      </c>
      <c r="D24" s="140">
        <f>'August 2020'!G24</f>
        <v>11113.42</v>
      </c>
      <c r="E24" s="150"/>
      <c r="F24" s="150">
        <v>2164.23</v>
      </c>
      <c r="G24" s="121">
        <f>D24+E24-F24</f>
        <v>8949.19</v>
      </c>
      <c r="H24" s="139"/>
      <c r="I24" s="73"/>
      <c r="J24" s="23"/>
      <c r="K24" s="5"/>
    </row>
    <row r="25" spans="2:17" x14ac:dyDescent="0.25">
      <c r="B25" s="10"/>
      <c r="C25" s="18" t="s">
        <v>70</v>
      </c>
      <c r="D25" s="140">
        <f>'August 2020'!G25</f>
        <v>18710</v>
      </c>
      <c r="E25" s="151"/>
      <c r="F25" s="151"/>
      <c r="G25" s="121">
        <f>D25+E25-F25</f>
        <v>18710</v>
      </c>
      <c r="H25" s="166"/>
      <c r="I25" s="73"/>
      <c r="J25" s="23"/>
      <c r="K25" s="5"/>
    </row>
    <row r="26" spans="2:17" x14ac:dyDescent="0.25">
      <c r="B26" s="11"/>
      <c r="C26" s="19" t="s">
        <v>34</v>
      </c>
      <c r="D26" s="140">
        <f>'August 2020'!G26</f>
        <v>4298.0700000000052</v>
      </c>
      <c r="E26" s="151"/>
      <c r="F26" s="182">
        <f>4298.1+6451.77</f>
        <v>10749.87</v>
      </c>
      <c r="G26" s="121">
        <f t="shared" ref="G26:G29" si="2">D26+E26-F26</f>
        <v>-6451.7999999999956</v>
      </c>
      <c r="H26" s="166"/>
      <c r="I26" s="74"/>
      <c r="J26" s="23"/>
      <c r="K26" s="23"/>
    </row>
    <row r="27" spans="2:17" x14ac:dyDescent="0.25">
      <c r="B27" s="11"/>
      <c r="C27" s="19" t="s">
        <v>39</v>
      </c>
      <c r="D27" s="140">
        <f>'August 2020'!G27</f>
        <v>102500</v>
      </c>
      <c r="E27" s="151"/>
      <c r="F27" s="151"/>
      <c r="G27" s="121">
        <f t="shared" si="2"/>
        <v>102500</v>
      </c>
      <c r="H27" s="166"/>
      <c r="I27" s="74"/>
      <c r="J27" s="23"/>
      <c r="K27" s="23"/>
    </row>
    <row r="28" spans="2:17" x14ac:dyDescent="0.25">
      <c r="B28" s="11"/>
      <c r="C28" s="19" t="s">
        <v>65</v>
      </c>
      <c r="D28" s="140">
        <f>'August 2020'!G28</f>
        <v>134492</v>
      </c>
      <c r="E28" s="151"/>
      <c r="F28" s="151"/>
      <c r="G28" s="121">
        <f t="shared" si="2"/>
        <v>134492</v>
      </c>
      <c r="H28" s="166"/>
      <c r="I28" s="74"/>
      <c r="J28" s="23"/>
      <c r="K28" s="23"/>
    </row>
    <row r="29" spans="2:17" x14ac:dyDescent="0.25">
      <c r="B29" s="10"/>
      <c r="C29" s="18" t="s">
        <v>44</v>
      </c>
      <c r="D29" s="140">
        <f>'August 2020'!G29</f>
        <v>-5.3299999999999841</v>
      </c>
      <c r="E29" s="151"/>
      <c r="F29" s="134">
        <v>58.1</v>
      </c>
      <c r="G29" s="121">
        <f t="shared" si="2"/>
        <v>-63.429999999999986</v>
      </c>
      <c r="H29" s="166"/>
      <c r="I29" s="73"/>
      <c r="J29" s="23"/>
      <c r="K29" s="5"/>
    </row>
    <row r="30" spans="2:17" x14ac:dyDescent="0.25">
      <c r="B30" s="775" t="s">
        <v>35</v>
      </c>
      <c r="C30" s="776"/>
      <c r="D30" s="141">
        <f>SUM(D31:D34)</f>
        <v>56962.94</v>
      </c>
      <c r="E30" s="172">
        <f>SUM(E31:E34)</f>
        <v>0</v>
      </c>
      <c r="F30" s="111">
        <f>SUM(F31:F34)</f>
        <v>1738.71</v>
      </c>
      <c r="G30" s="111">
        <f>SUM(G31:G34)</f>
        <v>55224.229999999996</v>
      </c>
      <c r="H30" s="173">
        <f t="shared" ref="H30" si="3">SUM(H31:H33)</f>
        <v>0</v>
      </c>
      <c r="I30" s="73"/>
      <c r="J30" s="73"/>
      <c r="Q30" s="23"/>
    </row>
    <row r="31" spans="2:17" x14ac:dyDescent="0.25">
      <c r="B31" s="10"/>
      <c r="C31" s="18" t="s">
        <v>69</v>
      </c>
      <c r="D31" s="140">
        <f>'August 2020'!G31</f>
        <v>34258.44</v>
      </c>
      <c r="E31" s="174"/>
      <c r="F31" s="183">
        <v>43.58</v>
      </c>
      <c r="G31" s="119">
        <f t="shared" ref="G31:G34" si="4">D31+E31-F31</f>
        <v>34214.86</v>
      </c>
      <c r="H31" s="166"/>
      <c r="I31" s="73"/>
      <c r="J31" s="23"/>
      <c r="K31" s="5"/>
    </row>
    <row r="32" spans="2:17" x14ac:dyDescent="0.25">
      <c r="B32" s="10"/>
      <c r="C32" s="20" t="s">
        <v>64</v>
      </c>
      <c r="D32" s="140">
        <f>'August 2020'!G32</f>
        <v>22704.499999999996</v>
      </c>
      <c r="E32" s="174"/>
      <c r="F32" s="134">
        <v>1695.13</v>
      </c>
      <c r="G32" s="119">
        <f t="shared" si="4"/>
        <v>21009.369999999995</v>
      </c>
      <c r="H32" s="166"/>
      <c r="I32" s="73"/>
      <c r="J32" s="93"/>
      <c r="K32" s="3"/>
      <c r="Q32" s="148"/>
    </row>
    <row r="33" spans="2:17" x14ac:dyDescent="0.25">
      <c r="B33" s="10"/>
      <c r="C33" s="21" t="s">
        <v>33</v>
      </c>
      <c r="D33" s="140">
        <f>'August 2020'!G33</f>
        <v>0</v>
      </c>
      <c r="E33" s="174"/>
      <c r="F33" s="151"/>
      <c r="G33" s="151">
        <f t="shared" si="4"/>
        <v>0</v>
      </c>
      <c r="H33" s="166"/>
      <c r="I33" s="73"/>
      <c r="J33" s="23"/>
      <c r="K33" s="4"/>
      <c r="Q33" s="149"/>
    </row>
    <row r="34" spans="2:17" ht="15.75" thickBot="1" x14ac:dyDescent="0.3">
      <c r="C34" s="104" t="s">
        <v>47</v>
      </c>
      <c r="D34" s="140">
        <f>'August 2020'!G34</f>
        <v>0</v>
      </c>
      <c r="E34" s="174"/>
      <c r="F34" s="151"/>
      <c r="G34" s="151">
        <f t="shared" si="4"/>
        <v>0</v>
      </c>
      <c r="H34" s="166"/>
      <c r="I34" s="73"/>
      <c r="J34" s="23"/>
      <c r="K34" s="4"/>
      <c r="Q34" s="149"/>
    </row>
    <row r="35" spans="2:17" ht="15.75" thickBot="1" x14ac:dyDescent="0.3">
      <c r="B35" s="779" t="s">
        <v>11</v>
      </c>
      <c r="C35" s="766"/>
      <c r="D35" s="38">
        <f>D6+D17+D23+D30</f>
        <v>396747.61999999994</v>
      </c>
      <c r="E35" s="203">
        <f>SUM(E23,E17,E6,E30)</f>
        <v>221.49</v>
      </c>
      <c r="F35" s="203">
        <f>SUM(F23,F17,F6,F30)</f>
        <v>-7010.22</v>
      </c>
      <c r="G35" s="44">
        <f>SUM(G23,G17,G6,G30)</f>
        <v>403979.33</v>
      </c>
      <c r="H35" s="78">
        <f>SUM(H6,H16,H23,H30)</f>
        <v>0</v>
      </c>
      <c r="I35" s="23"/>
      <c r="J35" s="23"/>
      <c r="K35" s="6"/>
    </row>
    <row r="36" spans="2:17" hidden="1" x14ac:dyDescent="0.25">
      <c r="B36" s="220"/>
      <c r="C36" s="221"/>
      <c r="D36" s="23">
        <f>SUM(D17:D22)</f>
        <v>-36836.160000000003</v>
      </c>
      <c r="E36" s="23"/>
      <c r="F36" s="23"/>
      <c r="G36" s="23"/>
      <c r="H36" s="49"/>
      <c r="I36" s="23"/>
      <c r="L36" t="s">
        <v>12</v>
      </c>
      <c r="M36">
        <v>42.43</v>
      </c>
    </row>
    <row r="37" spans="2:17" ht="15.75" hidden="1" thickBot="1" x14ac:dyDescent="0.3">
      <c r="B37" s="9" t="s">
        <v>25</v>
      </c>
      <c r="C37" s="15"/>
      <c r="D37" s="33" t="e">
        <f>SUM(D35,#REF!)</f>
        <v>#REF!</v>
      </c>
      <c r="E37" s="34" t="e">
        <f>SUM(E35,#REF!)</f>
        <v>#REF!</v>
      </c>
      <c r="F37" s="34" t="e">
        <f>SUM(F35,#REF!)</f>
        <v>#REF!</v>
      </c>
      <c r="G37" s="35" t="e">
        <f>SUM(G35,#REF!)</f>
        <v>#REF!</v>
      </c>
      <c r="H37" s="49"/>
      <c r="I37" s="23"/>
      <c r="J37" s="6"/>
      <c r="K37" s="4">
        <v>206730.35</v>
      </c>
    </row>
    <row r="38" spans="2:17" ht="15.75" thickBot="1" x14ac:dyDescent="0.3">
      <c r="C38" s="7"/>
      <c r="D38" s="23"/>
      <c r="E38" s="23"/>
      <c r="F38" s="23"/>
      <c r="G38" s="23"/>
      <c r="H38" s="49"/>
      <c r="I38" s="64"/>
      <c r="J38" s="6"/>
      <c r="K38" s="4"/>
      <c r="Q38" s="23"/>
    </row>
    <row r="39" spans="2:17" ht="15.75" thickBot="1" x14ac:dyDescent="0.3">
      <c r="B39" s="780" t="s">
        <v>13</v>
      </c>
      <c r="C39" s="781"/>
      <c r="D39" s="31" t="s">
        <v>2</v>
      </c>
      <c r="E39" s="31" t="s">
        <v>3</v>
      </c>
      <c r="F39" s="31" t="s">
        <v>24</v>
      </c>
      <c r="G39" s="31" t="s">
        <v>27</v>
      </c>
      <c r="H39" s="31" t="s">
        <v>5</v>
      </c>
      <c r="I39" s="50"/>
      <c r="J39" s="6"/>
      <c r="K39" s="8"/>
    </row>
    <row r="40" spans="2:17" ht="15.75" thickBot="1" x14ac:dyDescent="0.3">
      <c r="B40" s="769" t="s">
        <v>14</v>
      </c>
      <c r="C40" s="770"/>
      <c r="D40" s="161">
        <f>'August 2020'!H40</f>
        <v>61.340000000000018</v>
      </c>
      <c r="E40" s="162">
        <v>100</v>
      </c>
      <c r="F40" s="162"/>
      <c r="G40" s="162">
        <v>5.3</v>
      </c>
      <c r="H40" s="114">
        <f t="shared" ref="H40:H42" si="5">D40+E40+F40-G40</f>
        <v>156.04000000000002</v>
      </c>
      <c r="I40" s="23"/>
      <c r="K40" s="6"/>
      <c r="L40" s="4"/>
    </row>
    <row r="41" spans="2:17" ht="15.75" thickBot="1" x14ac:dyDescent="0.3">
      <c r="B41" s="782" t="s">
        <v>15</v>
      </c>
      <c r="C41" s="783"/>
      <c r="D41" s="161">
        <f>'August 2020'!H41</f>
        <v>15123.199999999997</v>
      </c>
      <c r="E41" s="115">
        <v>18000</v>
      </c>
      <c r="F41" s="115"/>
      <c r="G41" s="115">
        <v>18165.29</v>
      </c>
      <c r="H41" s="155">
        <f>D41+E41+F41-G41</f>
        <v>14957.909999999996</v>
      </c>
      <c r="I41" s="23"/>
      <c r="J41" s="65"/>
      <c r="K41" s="6"/>
    </row>
    <row r="42" spans="2:17" ht="15.75" thickBot="1" x14ac:dyDescent="0.3">
      <c r="B42" s="14"/>
      <c r="C42" s="16" t="s">
        <v>21</v>
      </c>
      <c r="D42" s="161">
        <f>'August 2020'!H42</f>
        <v>0</v>
      </c>
      <c r="E42" s="56"/>
      <c r="F42" s="56"/>
      <c r="G42" s="56"/>
      <c r="H42" s="156">
        <f t="shared" si="5"/>
        <v>0</v>
      </c>
      <c r="I42" s="23"/>
      <c r="J42" s="65"/>
      <c r="K42" s="4"/>
    </row>
    <row r="43" spans="2:17" ht="15.75" thickBot="1" x14ac:dyDescent="0.3">
      <c r="B43" s="14"/>
      <c r="C43" s="16" t="s">
        <v>40</v>
      </c>
      <c r="D43" s="161">
        <f>'August 2020'!H43</f>
        <v>-3050.8400000000006</v>
      </c>
      <c r="E43" s="160">
        <v>2823.47</v>
      </c>
      <c r="F43" s="56"/>
      <c r="G43" s="160">
        <v>598.83000000000004</v>
      </c>
      <c r="H43" s="157">
        <f>D43+E43+F43-G43</f>
        <v>-826.20000000000084</v>
      </c>
      <c r="I43" s="23"/>
      <c r="J43" s="4"/>
      <c r="K43" s="4"/>
    </row>
    <row r="44" spans="2:17" ht="15.75" thickBot="1" x14ac:dyDescent="0.3">
      <c r="B44" s="769" t="s">
        <v>16</v>
      </c>
      <c r="C44" s="770"/>
      <c r="D44" s="161">
        <f>'August 2020'!H44</f>
        <v>205747.61000000007</v>
      </c>
      <c r="E44" s="61">
        <f>18000+6548.39+500</f>
        <v>25048.39</v>
      </c>
      <c r="F44" s="61"/>
      <c r="G44" s="61">
        <f>1000+18000+7.72</f>
        <v>19007.72</v>
      </c>
      <c r="H44" s="158">
        <f>D44+E44-F44-G44</f>
        <v>211788.28000000006</v>
      </c>
      <c r="I44" s="23"/>
      <c r="J44" s="4"/>
      <c r="K44" s="4"/>
    </row>
    <row r="45" spans="2:17" ht="15.75" thickBot="1" x14ac:dyDescent="0.3">
      <c r="B45" s="80" t="s">
        <v>46</v>
      </c>
      <c r="C45" s="81"/>
      <c r="D45" s="161">
        <f>'August 2020'!H45</f>
        <v>178140.15999999997</v>
      </c>
      <c r="E45" s="28">
        <v>53.01</v>
      </c>
      <c r="F45" s="28"/>
      <c r="G45" s="28">
        <v>1000</v>
      </c>
      <c r="H45" s="159">
        <f>D45+E45+F45-G45</f>
        <v>177193.16999999998</v>
      </c>
      <c r="I45" s="23"/>
      <c r="J45" s="4"/>
      <c r="K45" s="4"/>
    </row>
    <row r="46" spans="2:17" ht="15.75" thickBot="1" x14ac:dyDescent="0.3">
      <c r="B46" s="765"/>
      <c r="C46" s="766"/>
      <c r="D46" s="29">
        <f>SUM(D40+D41+D44+D45+D43+D42)</f>
        <v>396021.47000000003</v>
      </c>
      <c r="E46" s="204">
        <f>SUM(E40:E45)</f>
        <v>46024.87</v>
      </c>
      <c r="F46" s="30">
        <f>SUM(F40:F45)</f>
        <v>0</v>
      </c>
      <c r="G46" s="204">
        <f>SUM(G40:G45)</f>
        <v>38777.14</v>
      </c>
      <c r="H46" s="45">
        <f>SUM(H40+H41+H44+H42+H45+H43)</f>
        <v>403269.2</v>
      </c>
      <c r="I46" s="23"/>
      <c r="J46" s="6"/>
      <c r="K46" s="4"/>
      <c r="L46" s="3"/>
    </row>
    <row r="47" spans="2:17" x14ac:dyDescent="0.25">
      <c r="B47" s="220"/>
      <c r="C47" s="221"/>
      <c r="D47" s="23">
        <f>D35-D46</f>
        <v>726.14999999990687</v>
      </c>
      <c r="E47" s="23"/>
      <c r="F47" s="23"/>
      <c r="G47" s="23"/>
      <c r="H47" s="23">
        <f>G35-H46</f>
        <v>710.13000000000466</v>
      </c>
      <c r="I47" s="23"/>
      <c r="J47" s="6"/>
      <c r="K47" s="6"/>
      <c r="L47" s="3"/>
    </row>
    <row r="48" spans="2:17" x14ac:dyDescent="0.25">
      <c r="C48" s="7"/>
      <c r="D48" s="23"/>
      <c r="E48" s="23"/>
      <c r="F48" s="23"/>
      <c r="G48" s="23"/>
      <c r="H48" s="23"/>
      <c r="I48" s="23"/>
      <c r="J48" s="6"/>
    </row>
    <row r="49" spans="2:17" ht="15.75" x14ac:dyDescent="0.25">
      <c r="B49" s="767" t="s">
        <v>17</v>
      </c>
      <c r="C49" s="767"/>
      <c r="D49" s="767"/>
      <c r="E49" s="767"/>
      <c r="F49" s="768" t="s">
        <v>18</v>
      </c>
      <c r="G49" s="768"/>
      <c r="H49" s="23"/>
      <c r="I49" s="23"/>
      <c r="K49" s="6"/>
    </row>
    <row r="50" spans="2:17" ht="15.75" x14ac:dyDescent="0.25">
      <c r="B50" s="222"/>
      <c r="C50" s="222"/>
      <c r="D50" s="223"/>
      <c r="E50" s="223"/>
      <c r="F50" s="223"/>
      <c r="G50" s="223"/>
      <c r="H50" s="23"/>
      <c r="I50" s="23"/>
    </row>
    <row r="51" spans="2:17" ht="15.75" x14ac:dyDescent="0.25">
      <c r="B51" s="767" t="s">
        <v>19</v>
      </c>
      <c r="C51" s="767"/>
      <c r="D51" s="767"/>
      <c r="E51" s="767"/>
      <c r="F51" s="768" t="s">
        <v>18</v>
      </c>
      <c r="G51" s="768"/>
      <c r="H51" s="23"/>
      <c r="I51" s="23"/>
    </row>
    <row r="52" spans="2:17" x14ac:dyDescent="0.25">
      <c r="B52" s="220"/>
      <c r="C52" s="221"/>
      <c r="D52" s="3"/>
      <c r="E52" s="3"/>
      <c r="F52" s="3"/>
      <c r="G52" s="4"/>
      <c r="H52" s="3"/>
      <c r="I52" s="3"/>
      <c r="J52" s="6"/>
      <c r="K52" s="4"/>
      <c r="Q52" s="17"/>
    </row>
    <row r="53" spans="2:17" x14ac:dyDescent="0.25">
      <c r="C53" s="7"/>
      <c r="D53" s="6"/>
      <c r="E53" s="6"/>
      <c r="F53" s="6"/>
      <c r="G53" s="6"/>
      <c r="J53" s="6"/>
      <c r="K53" s="8"/>
      <c r="M53" s="3"/>
      <c r="Q53" s="17"/>
    </row>
    <row r="54" spans="2:17" x14ac:dyDescent="0.25">
      <c r="C54" s="7"/>
      <c r="D54" s="4"/>
      <c r="E54" s="6"/>
      <c r="G54" s="6"/>
      <c r="K54" s="6"/>
    </row>
  </sheetData>
  <mergeCells count="17">
    <mergeCell ref="B46:C46"/>
    <mergeCell ref="B49:E49"/>
    <mergeCell ref="F49:G49"/>
    <mergeCell ref="B51:E51"/>
    <mergeCell ref="F51:G51"/>
    <mergeCell ref="B44:C44"/>
    <mergeCell ref="B2:H2"/>
    <mergeCell ref="B3:H3"/>
    <mergeCell ref="B5:C5"/>
    <mergeCell ref="B6:C6"/>
    <mergeCell ref="B17:C17"/>
    <mergeCell ref="B23:C23"/>
    <mergeCell ref="B30:C30"/>
    <mergeCell ref="B35:C35"/>
    <mergeCell ref="B39:C39"/>
    <mergeCell ref="B40:C40"/>
    <mergeCell ref="B41:C41"/>
  </mergeCells>
  <pageMargins left="0.7" right="0.7" top="0.75" bottom="0.75" header="0.3" footer="0.3"/>
  <pageSetup scale="82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88486-3D9C-4CD9-89A6-A628171460E4}">
  <sheetPr>
    <pageSetUpPr fitToPage="1"/>
  </sheetPr>
  <dimension ref="A1:S54"/>
  <sheetViews>
    <sheetView topLeftCell="A12" workbookViewId="0">
      <selection activeCell="D35" sqref="D35"/>
    </sheetView>
  </sheetViews>
  <sheetFormatPr defaultColWidth="9.140625" defaultRowHeight="15" x14ac:dyDescent="0.25"/>
  <cols>
    <col min="1" max="1" width="3" customWidth="1"/>
    <col min="2" max="2" width="5.7109375" customWidth="1"/>
    <col min="3" max="3" width="33.85546875" bestFit="1" customWidth="1"/>
    <col min="4" max="4" width="13.85546875" customWidth="1"/>
    <col min="5" max="5" width="12.5703125" customWidth="1"/>
    <col min="6" max="6" width="15.28515625" customWidth="1"/>
    <col min="7" max="8" width="12.5703125" customWidth="1"/>
    <col min="9" max="9" width="15.7109375" customWidth="1"/>
    <col min="10" max="10" width="14.7109375" customWidth="1"/>
    <col min="11" max="11" width="14.5703125" customWidth="1"/>
    <col min="12" max="12" width="11.28515625" customWidth="1"/>
    <col min="17" max="17" width="13" customWidth="1"/>
  </cols>
  <sheetData>
    <row r="1" spans="1:19" hidden="1" x14ac:dyDescent="0.25"/>
    <row r="2" spans="1:19" ht="21" x14ac:dyDescent="0.35">
      <c r="B2" s="771" t="s">
        <v>0</v>
      </c>
      <c r="C2" s="771"/>
      <c r="D2" s="771"/>
      <c r="E2" s="771"/>
      <c r="F2" s="771"/>
      <c r="G2" s="771"/>
      <c r="H2" s="771"/>
      <c r="I2" s="224"/>
    </row>
    <row r="3" spans="1:19" ht="18.75" x14ac:dyDescent="0.3">
      <c r="B3" s="772" t="s">
        <v>73</v>
      </c>
      <c r="C3" s="772"/>
      <c r="D3" s="772"/>
      <c r="E3" s="772"/>
      <c r="F3" s="772"/>
      <c r="G3" s="772"/>
      <c r="H3" s="772"/>
      <c r="I3" s="225"/>
    </row>
    <row r="4" spans="1:19" ht="15.75" thickBot="1" x14ac:dyDescent="0.3">
      <c r="B4" s="1"/>
      <c r="C4" s="51" t="s">
        <v>37</v>
      </c>
      <c r="D4" s="1"/>
      <c r="E4" s="1"/>
      <c r="F4" s="1"/>
      <c r="G4" s="2"/>
      <c r="J4" s="88"/>
    </row>
    <row r="5" spans="1:19" x14ac:dyDescent="0.25">
      <c r="B5" s="773" t="s">
        <v>1</v>
      </c>
      <c r="C5" s="774"/>
      <c r="D5" s="24" t="s">
        <v>2</v>
      </c>
      <c r="E5" s="24" t="s">
        <v>3</v>
      </c>
      <c r="F5" s="24" t="s">
        <v>58</v>
      </c>
      <c r="G5" s="24" t="s">
        <v>5</v>
      </c>
      <c r="H5" s="24" t="s">
        <v>6</v>
      </c>
      <c r="I5" s="50"/>
      <c r="J5" s="50"/>
    </row>
    <row r="6" spans="1:19" x14ac:dyDescent="0.25">
      <c r="B6" s="775" t="s">
        <v>7</v>
      </c>
      <c r="C6" s="776"/>
      <c r="D6" s="25">
        <f>SUM(D7:D16)</f>
        <v>112247.50000000001</v>
      </c>
      <c r="E6" s="62">
        <f>SUM(E7:E16)</f>
        <v>5878.93</v>
      </c>
      <c r="F6" s="62">
        <f>SUM(F7:F16)</f>
        <v>41999.86</v>
      </c>
      <c r="G6" s="62">
        <f>SUM(G7:G16)</f>
        <v>76126.570000000007</v>
      </c>
      <c r="H6" s="63">
        <f>SUM(H7:H15)</f>
        <v>0</v>
      </c>
      <c r="I6" s="73"/>
      <c r="J6" s="73"/>
      <c r="K6" s="73"/>
      <c r="L6" s="23"/>
      <c r="Q6" s="23"/>
      <c r="S6" s="23"/>
    </row>
    <row r="7" spans="1:19" ht="15.75" customHeight="1" x14ac:dyDescent="0.25">
      <c r="B7" s="11"/>
      <c r="C7" s="22" t="s">
        <v>23</v>
      </c>
      <c r="D7" s="163">
        <f>'September 2020'!G7</f>
        <v>120520.85000000002</v>
      </c>
      <c r="E7" s="139">
        <f>112.58+100</f>
        <v>212.57999999999998</v>
      </c>
      <c r="F7" s="139">
        <f>1000+1024.12+508.38+1154.55+22234.42</f>
        <v>25921.469999999998</v>
      </c>
      <c r="G7" s="164">
        <f>D7+E7-F7</f>
        <v>94811.960000000021</v>
      </c>
      <c r="H7" s="165"/>
      <c r="I7" s="125"/>
      <c r="J7" s="23"/>
    </row>
    <row r="8" spans="1:19" x14ac:dyDescent="0.25">
      <c r="B8" s="12"/>
      <c r="C8" s="52" t="s">
        <v>62</v>
      </c>
      <c r="D8" s="163">
        <f>'September 2020'!G8</f>
        <v>-5571.85</v>
      </c>
      <c r="E8" s="166">
        <v>5639.47</v>
      </c>
      <c r="F8" s="154">
        <v>2791.47</v>
      </c>
      <c r="G8" s="108">
        <f t="shared" ref="G8:G16" si="0">D8+E8-F8</f>
        <v>-2723.85</v>
      </c>
      <c r="H8" s="165"/>
      <c r="I8" s="73"/>
      <c r="J8" s="149"/>
    </row>
    <row r="9" spans="1:19" hidden="1" x14ac:dyDescent="0.25">
      <c r="B9" s="12"/>
      <c r="C9" s="53" t="s">
        <v>67</v>
      </c>
      <c r="D9" s="163">
        <f>'September 2020'!G9</f>
        <v>0</v>
      </c>
      <c r="E9" s="166"/>
      <c r="F9" s="166"/>
      <c r="G9" s="164">
        <f t="shared" si="0"/>
        <v>0</v>
      </c>
      <c r="H9" s="165"/>
      <c r="I9" s="73"/>
      <c r="J9" s="71">
        <v>3231.47</v>
      </c>
      <c r="K9" s="23"/>
    </row>
    <row r="10" spans="1:19" x14ac:dyDescent="0.25">
      <c r="B10" s="12"/>
      <c r="C10" s="53" t="s">
        <v>41</v>
      </c>
      <c r="D10" s="163">
        <f>'September 2020'!G10</f>
        <v>-5453.06</v>
      </c>
      <c r="E10" s="152"/>
      <c r="F10" s="152">
        <f>2296.64+5918.63</f>
        <v>8215.27</v>
      </c>
      <c r="G10" s="108">
        <f t="shared" si="0"/>
        <v>-13668.330000000002</v>
      </c>
      <c r="H10" s="165"/>
      <c r="I10" s="73"/>
      <c r="J10" s="93"/>
      <c r="K10" s="23"/>
    </row>
    <row r="11" spans="1:19" hidden="1" x14ac:dyDescent="0.25">
      <c r="B11" s="12"/>
      <c r="C11" s="53" t="s">
        <v>29</v>
      </c>
      <c r="D11" s="163">
        <f>'September 2020'!G11</f>
        <v>0</v>
      </c>
      <c r="E11" s="70"/>
      <c r="F11" s="70"/>
      <c r="G11" s="164">
        <f t="shared" si="0"/>
        <v>0</v>
      </c>
      <c r="H11" s="165"/>
      <c r="I11" s="73"/>
      <c r="J11" s="93"/>
    </row>
    <row r="12" spans="1:19" x14ac:dyDescent="0.25">
      <c r="B12" s="12"/>
      <c r="C12" s="53" t="s">
        <v>20</v>
      </c>
      <c r="D12" s="163">
        <f>'September 2020'!G12</f>
        <v>4650.55</v>
      </c>
      <c r="E12" s="152">
        <v>20</v>
      </c>
      <c r="F12" s="167">
        <f>82.18+93.92+4350</f>
        <v>4526.1000000000004</v>
      </c>
      <c r="G12" s="181">
        <f t="shared" si="0"/>
        <v>144.44999999999982</v>
      </c>
      <c r="H12" s="165"/>
      <c r="I12" s="73"/>
      <c r="J12" s="23"/>
    </row>
    <row r="13" spans="1:19" x14ac:dyDescent="0.25">
      <c r="B13" s="12"/>
      <c r="C13" s="53" t="s">
        <v>22</v>
      </c>
      <c r="D13" s="163">
        <f>'September 2020'!G13</f>
        <v>-12.120000000000086</v>
      </c>
      <c r="E13" s="152">
        <v>6.88</v>
      </c>
      <c r="F13" s="167"/>
      <c r="G13" s="181">
        <f t="shared" si="0"/>
        <v>-5.2400000000000864</v>
      </c>
      <c r="H13" s="165"/>
      <c r="I13" s="73"/>
      <c r="J13" s="23"/>
    </row>
    <row r="14" spans="1:19" x14ac:dyDescent="0.25">
      <c r="B14" s="12"/>
      <c r="C14" s="53" t="s">
        <v>28</v>
      </c>
      <c r="D14" s="163">
        <f>'September 2020'!G14</f>
        <v>-2423.4300000000007</v>
      </c>
      <c r="E14" s="167"/>
      <c r="F14" s="152">
        <v>428.15</v>
      </c>
      <c r="G14" s="108">
        <f t="shared" si="0"/>
        <v>-2851.5800000000008</v>
      </c>
      <c r="H14" s="165"/>
      <c r="I14" s="73"/>
      <c r="J14" s="23"/>
    </row>
    <row r="15" spans="1:19" x14ac:dyDescent="0.25">
      <c r="A15" t="s">
        <v>26</v>
      </c>
      <c r="B15" s="12"/>
      <c r="C15" s="18" t="s">
        <v>42</v>
      </c>
      <c r="D15" s="163">
        <f>'September 2020'!G15</f>
        <v>785.18000000000006</v>
      </c>
      <c r="E15" s="166"/>
      <c r="F15" s="166">
        <v>117.4</v>
      </c>
      <c r="G15" s="153">
        <f t="shared" si="0"/>
        <v>667.78000000000009</v>
      </c>
      <c r="H15" s="165"/>
      <c r="I15" s="73"/>
      <c r="J15" s="23"/>
    </row>
    <row r="16" spans="1:19" x14ac:dyDescent="0.25">
      <c r="B16" s="12"/>
      <c r="C16" s="18" t="s">
        <v>43</v>
      </c>
      <c r="D16" s="163">
        <f>'September 2020'!G16</f>
        <v>-248.62000000000023</v>
      </c>
      <c r="E16" s="166"/>
      <c r="F16" s="166"/>
      <c r="G16" s="181">
        <f t="shared" si="0"/>
        <v>-248.62000000000023</v>
      </c>
      <c r="H16" s="165"/>
      <c r="I16" s="73"/>
      <c r="J16" s="73"/>
      <c r="Q16" s="23"/>
    </row>
    <row r="17" spans="2:17" x14ac:dyDescent="0.25">
      <c r="B17" s="777" t="s">
        <v>53</v>
      </c>
      <c r="C17" s="778"/>
      <c r="D17" s="141">
        <f>SUM(D18:D22)</f>
        <v>-21628.36</v>
      </c>
      <c r="E17" s="107">
        <f>SUM(E18:E22)</f>
        <v>21139.5</v>
      </c>
      <c r="F17" s="107">
        <f>SUM(F18:F22)</f>
        <v>1735.27</v>
      </c>
      <c r="G17" s="108">
        <f>SUM(G18:G22)</f>
        <v>-2224.130000000001</v>
      </c>
      <c r="H17" s="169"/>
      <c r="I17" s="73"/>
      <c r="J17" s="73"/>
      <c r="Q17" s="23"/>
    </row>
    <row r="18" spans="2:17" x14ac:dyDescent="0.25">
      <c r="B18" s="13"/>
      <c r="C18" s="40" t="s">
        <v>9</v>
      </c>
      <c r="D18" s="140">
        <f>'September 2020'!G18</f>
        <v>7592.3600000000006</v>
      </c>
      <c r="E18" s="217"/>
      <c r="F18" s="134"/>
      <c r="G18" s="137">
        <f>D18+E18-F18</f>
        <v>7592.3600000000006</v>
      </c>
      <c r="H18" s="166"/>
      <c r="I18" s="73"/>
      <c r="J18" s="23"/>
      <c r="K18" s="4"/>
    </row>
    <row r="19" spans="2:17" x14ac:dyDescent="0.25">
      <c r="B19" s="12"/>
      <c r="C19" s="55" t="s">
        <v>8</v>
      </c>
      <c r="D19" s="140">
        <f>'September 2020'!G19</f>
        <v>-18005.02</v>
      </c>
      <c r="E19" s="167">
        <v>15970.08</v>
      </c>
      <c r="F19" s="152">
        <v>50.37</v>
      </c>
      <c r="G19" s="137">
        <f>D19+E19-F19</f>
        <v>-2085.3100000000004</v>
      </c>
      <c r="H19" s="170"/>
      <c r="I19" s="73"/>
      <c r="J19" s="23"/>
    </row>
    <row r="20" spans="2:17" x14ac:dyDescent="0.25">
      <c r="B20" s="12"/>
      <c r="C20" s="55" t="s">
        <v>32</v>
      </c>
      <c r="D20" s="140">
        <f>'September 2020'!G20</f>
        <v>-2902.7500000000005</v>
      </c>
      <c r="E20" s="167">
        <v>5000</v>
      </c>
      <c r="F20" s="152">
        <v>377.65</v>
      </c>
      <c r="G20" s="137">
        <f t="shared" ref="G20:G22" si="1">D20+E20-F20</f>
        <v>1719.5999999999995</v>
      </c>
      <c r="H20" s="171"/>
      <c r="I20" s="73"/>
      <c r="J20" s="23"/>
    </row>
    <row r="21" spans="2:17" x14ac:dyDescent="0.25">
      <c r="B21" s="12"/>
      <c r="C21" s="55" t="s">
        <v>67</v>
      </c>
      <c r="D21" s="140">
        <f>'September 2020'!G21</f>
        <v>-169.41</v>
      </c>
      <c r="E21" s="167">
        <v>169.42</v>
      </c>
      <c r="F21" s="167"/>
      <c r="G21" s="137">
        <f t="shared" si="1"/>
        <v>9.9999999999909051E-3</v>
      </c>
      <c r="H21" s="171"/>
      <c r="I21" s="73"/>
      <c r="J21" s="23"/>
    </row>
    <row r="22" spans="2:17" x14ac:dyDescent="0.25">
      <c r="B22" s="10"/>
      <c r="C22" s="41" t="s">
        <v>38</v>
      </c>
      <c r="D22" s="140">
        <f>'September 2020'!G22</f>
        <v>-8143.5400000000009</v>
      </c>
      <c r="E22" s="151"/>
      <c r="F22" s="134">
        <v>1307.25</v>
      </c>
      <c r="G22" s="137">
        <f t="shared" si="1"/>
        <v>-9450.7900000000009</v>
      </c>
      <c r="H22" s="166">
        <v>8500</v>
      </c>
      <c r="I22" s="73"/>
      <c r="J22" s="23"/>
      <c r="K22" s="4"/>
    </row>
    <row r="23" spans="2:17" x14ac:dyDescent="0.25">
      <c r="B23" s="775" t="s">
        <v>10</v>
      </c>
      <c r="C23" s="776"/>
      <c r="D23" s="141">
        <f>SUM(D24:D29)</f>
        <v>258135.96000000002</v>
      </c>
      <c r="E23" s="172">
        <f>SUM(E24:E29)</f>
        <v>0</v>
      </c>
      <c r="F23" s="111">
        <f>SUM(F24:F29)</f>
        <v>15463.89</v>
      </c>
      <c r="G23" s="111">
        <f>SUM(G24:G29)</f>
        <v>242672.07</v>
      </c>
      <c r="H23" s="173">
        <f>SUM(H29:H33)</f>
        <v>0</v>
      </c>
      <c r="I23" s="73"/>
      <c r="J23" s="73"/>
      <c r="Q23" s="23"/>
    </row>
    <row r="24" spans="2:17" x14ac:dyDescent="0.25">
      <c r="B24" s="13"/>
      <c r="C24" s="37" t="s">
        <v>55</v>
      </c>
      <c r="D24" s="140">
        <f>'September 2020'!G24</f>
        <v>8949.19</v>
      </c>
      <c r="E24" s="150"/>
      <c r="F24" s="150">
        <v>3311.7</v>
      </c>
      <c r="G24" s="121">
        <f>D24+E24-F24</f>
        <v>5637.4900000000007</v>
      </c>
      <c r="H24" s="139"/>
      <c r="I24" s="73"/>
      <c r="J24" s="23"/>
      <c r="K24" s="5"/>
    </row>
    <row r="25" spans="2:17" x14ac:dyDescent="0.25">
      <c r="B25" s="10"/>
      <c r="C25" s="18" t="s">
        <v>70</v>
      </c>
      <c r="D25" s="140">
        <f>'September 2020'!G25</f>
        <v>18710</v>
      </c>
      <c r="E25" s="151"/>
      <c r="F25" s="151"/>
      <c r="G25" s="121">
        <f>D25+E25-F25</f>
        <v>18710</v>
      </c>
      <c r="H25" s="166"/>
      <c r="I25" s="73"/>
      <c r="J25" s="23"/>
      <c r="K25" s="5"/>
    </row>
    <row r="26" spans="2:17" x14ac:dyDescent="0.25">
      <c r="B26" s="11"/>
      <c r="C26" s="19" t="s">
        <v>34</v>
      </c>
      <c r="D26" s="140">
        <f>'September 2020'!G26</f>
        <v>-6451.7999999999956</v>
      </c>
      <c r="E26" s="151"/>
      <c r="F26" s="182">
        <v>3308.24</v>
      </c>
      <c r="G26" s="121">
        <f t="shared" ref="G26:G29" si="2">D26+E26-F26</f>
        <v>-9760.0399999999954</v>
      </c>
      <c r="H26" s="166"/>
      <c r="I26" s="74"/>
      <c r="J26" s="23"/>
      <c r="K26" s="23"/>
    </row>
    <row r="27" spans="2:17" x14ac:dyDescent="0.25">
      <c r="B27" s="11"/>
      <c r="C27" s="19" t="s">
        <v>39</v>
      </c>
      <c r="D27" s="140">
        <f>'September 2020'!G27</f>
        <v>102500</v>
      </c>
      <c r="E27" s="151"/>
      <c r="F27" s="151">
        <v>8843.9500000000007</v>
      </c>
      <c r="G27" s="121">
        <f t="shared" si="2"/>
        <v>93656.05</v>
      </c>
      <c r="H27" s="166"/>
      <c r="I27" s="74"/>
      <c r="J27" s="23"/>
      <c r="K27" s="23"/>
    </row>
    <row r="28" spans="2:17" x14ac:dyDescent="0.25">
      <c r="B28" s="11"/>
      <c r="C28" s="19" t="s">
        <v>65</v>
      </c>
      <c r="D28" s="140">
        <f>'September 2020'!G28</f>
        <v>134492</v>
      </c>
      <c r="E28" s="151"/>
      <c r="F28" s="151"/>
      <c r="G28" s="121">
        <f t="shared" si="2"/>
        <v>134492</v>
      </c>
      <c r="H28" s="166"/>
      <c r="I28" s="74"/>
      <c r="J28" s="23"/>
      <c r="K28" s="23"/>
    </row>
    <row r="29" spans="2:17" x14ac:dyDescent="0.25">
      <c r="B29" s="10"/>
      <c r="C29" s="18" t="s">
        <v>44</v>
      </c>
      <c r="D29" s="140">
        <f>'September 2020'!G29</f>
        <v>-63.429999999999986</v>
      </c>
      <c r="E29" s="151"/>
      <c r="F29" s="134"/>
      <c r="G29" s="121">
        <f t="shared" si="2"/>
        <v>-63.429999999999986</v>
      </c>
      <c r="H29" s="166"/>
      <c r="I29" s="73"/>
      <c r="J29" s="23"/>
      <c r="K29" s="5"/>
    </row>
    <row r="30" spans="2:17" x14ac:dyDescent="0.25">
      <c r="B30" s="775" t="s">
        <v>35</v>
      </c>
      <c r="C30" s="776"/>
      <c r="D30" s="141">
        <f>SUM(D31:D34)</f>
        <v>55224.229999999996</v>
      </c>
      <c r="E30" s="172">
        <f>SUM(E31:E34)</f>
        <v>0</v>
      </c>
      <c r="F30" s="111">
        <f>SUM(F31:F34)</f>
        <v>377.78</v>
      </c>
      <c r="G30" s="111">
        <f>SUM(G31:G34)</f>
        <v>54846.45</v>
      </c>
      <c r="H30" s="173">
        <f t="shared" ref="H30" si="3">SUM(H31:H33)</f>
        <v>0</v>
      </c>
      <c r="I30" s="73"/>
      <c r="J30" s="73"/>
      <c r="Q30" s="23"/>
    </row>
    <row r="31" spans="2:17" x14ac:dyDescent="0.25">
      <c r="B31" s="10"/>
      <c r="C31" s="18" t="s">
        <v>69</v>
      </c>
      <c r="D31" s="140">
        <f>'September 2020'!G31</f>
        <v>34214.86</v>
      </c>
      <c r="E31" s="174"/>
      <c r="F31" s="183"/>
      <c r="G31" s="119">
        <f t="shared" ref="G31:G34" si="4">D31+E31-F31</f>
        <v>34214.86</v>
      </c>
      <c r="H31" s="166"/>
      <c r="I31" s="73"/>
      <c r="J31" s="23"/>
      <c r="K31" s="5"/>
    </row>
    <row r="32" spans="2:17" x14ac:dyDescent="0.25">
      <c r="B32" s="10"/>
      <c r="C32" s="20" t="s">
        <v>64</v>
      </c>
      <c r="D32" s="140">
        <f>'September 2020'!G32</f>
        <v>21009.369999999995</v>
      </c>
      <c r="E32" s="174"/>
      <c r="F32" s="134">
        <v>377.78</v>
      </c>
      <c r="G32" s="119">
        <f t="shared" si="4"/>
        <v>20631.589999999997</v>
      </c>
      <c r="H32" s="166"/>
      <c r="I32" s="73"/>
      <c r="J32" s="93"/>
      <c r="K32" s="3"/>
      <c r="Q32" s="148"/>
    </row>
    <row r="33" spans="2:17" ht="17.25" customHeight="1" x14ac:dyDescent="0.25">
      <c r="B33" s="10"/>
      <c r="C33" s="21" t="s">
        <v>33</v>
      </c>
      <c r="D33" s="140">
        <f>'September 2020'!G33</f>
        <v>0</v>
      </c>
      <c r="E33" s="174"/>
      <c r="F33" s="151"/>
      <c r="G33" s="151">
        <f t="shared" si="4"/>
        <v>0</v>
      </c>
      <c r="H33" s="166"/>
      <c r="I33" s="73"/>
      <c r="J33" s="23"/>
      <c r="K33" s="4"/>
      <c r="Q33" s="149"/>
    </row>
    <row r="34" spans="2:17" ht="17.25" customHeight="1" thickBot="1" x14ac:dyDescent="0.3">
      <c r="C34" s="104" t="s">
        <v>47</v>
      </c>
      <c r="D34" s="140">
        <f>'September 2020'!G34</f>
        <v>0</v>
      </c>
      <c r="E34" s="174"/>
      <c r="F34" s="151"/>
      <c r="G34" s="151">
        <f t="shared" si="4"/>
        <v>0</v>
      </c>
      <c r="H34" s="166"/>
      <c r="I34" s="73"/>
      <c r="J34" s="23"/>
      <c r="K34" s="4"/>
      <c r="Q34" s="149"/>
    </row>
    <row r="35" spans="2:17" ht="15.75" thickBot="1" x14ac:dyDescent="0.3">
      <c r="B35" s="779" t="s">
        <v>11</v>
      </c>
      <c r="C35" s="766"/>
      <c r="D35" s="38">
        <f>D6+D17+D23+D30</f>
        <v>403979.33</v>
      </c>
      <c r="E35" s="203">
        <f>SUM(E23,E17,E6,E30)</f>
        <v>27018.43</v>
      </c>
      <c r="F35" s="203">
        <f>SUM(F23,F17,F6,F30)</f>
        <v>59576.800000000003</v>
      </c>
      <c r="G35" s="44">
        <f>SUM(G23,G17,G6,G30)</f>
        <v>371420.96</v>
      </c>
      <c r="H35" s="78">
        <f>SUM(H6,H16,H23,H30)</f>
        <v>0</v>
      </c>
      <c r="I35" s="23"/>
      <c r="J35" s="23"/>
      <c r="K35" s="6"/>
    </row>
    <row r="36" spans="2:17" hidden="1" x14ac:dyDescent="0.25">
      <c r="B36" s="226"/>
      <c r="C36" s="227"/>
      <c r="D36" s="23">
        <f>SUM(D17:D22)</f>
        <v>-43256.720000000008</v>
      </c>
      <c r="E36" s="23"/>
      <c r="F36" s="23"/>
      <c r="G36" s="23"/>
      <c r="H36" s="49"/>
      <c r="I36" s="23"/>
      <c r="L36" t="s">
        <v>12</v>
      </c>
      <c r="M36">
        <v>42.43</v>
      </c>
    </row>
    <row r="37" spans="2:17" ht="15.75" hidden="1" thickBot="1" x14ac:dyDescent="0.3">
      <c r="B37" s="9" t="s">
        <v>25</v>
      </c>
      <c r="C37" s="15"/>
      <c r="D37" s="33" t="e">
        <f>SUM(D35,#REF!)</f>
        <v>#REF!</v>
      </c>
      <c r="E37" s="34" t="e">
        <f>SUM(E35,#REF!)</f>
        <v>#REF!</v>
      </c>
      <c r="F37" s="34" t="e">
        <f>SUM(F35,#REF!)</f>
        <v>#REF!</v>
      </c>
      <c r="G37" s="35" t="e">
        <f>SUM(G35,#REF!)</f>
        <v>#REF!</v>
      </c>
      <c r="H37" s="49"/>
      <c r="I37" s="23"/>
      <c r="J37" s="6"/>
      <c r="K37" s="4">
        <v>206730.35</v>
      </c>
    </row>
    <row r="38" spans="2:17" ht="15.75" thickBot="1" x14ac:dyDescent="0.3">
      <c r="C38" s="7"/>
      <c r="D38" s="23"/>
      <c r="E38" s="23"/>
      <c r="F38" s="23"/>
      <c r="G38" s="23"/>
      <c r="H38" s="49"/>
      <c r="I38" s="64"/>
      <c r="J38" s="6"/>
      <c r="K38" s="4"/>
      <c r="Q38" s="23"/>
    </row>
    <row r="39" spans="2:17" ht="15.75" thickBot="1" x14ac:dyDescent="0.3">
      <c r="B39" s="780" t="s">
        <v>13</v>
      </c>
      <c r="C39" s="781"/>
      <c r="D39" s="31" t="s">
        <v>2</v>
      </c>
      <c r="E39" s="31" t="s">
        <v>3</v>
      </c>
      <c r="F39" s="31" t="s">
        <v>24</v>
      </c>
      <c r="G39" s="31" t="s">
        <v>27</v>
      </c>
      <c r="H39" s="31" t="s">
        <v>5</v>
      </c>
      <c r="I39" s="50"/>
      <c r="J39" s="6"/>
      <c r="K39" s="8"/>
    </row>
    <row r="40" spans="2:17" ht="15.75" thickBot="1" x14ac:dyDescent="0.3">
      <c r="B40" s="769" t="s">
        <v>14</v>
      </c>
      <c r="C40" s="770"/>
      <c r="D40" s="161">
        <f>'September 2020'!H40</f>
        <v>156.04000000000002</v>
      </c>
      <c r="E40" s="162"/>
      <c r="F40" s="162"/>
      <c r="G40" s="162"/>
      <c r="H40" s="114">
        <f t="shared" ref="H40:H42" si="5">D40+E40+F40-G40</f>
        <v>156.04000000000002</v>
      </c>
      <c r="I40" s="23"/>
      <c r="K40" s="6"/>
      <c r="L40" s="4"/>
    </row>
    <row r="41" spans="2:17" ht="15.75" thickBot="1" x14ac:dyDescent="0.3">
      <c r="B41" s="782" t="s">
        <v>15</v>
      </c>
      <c r="C41" s="783"/>
      <c r="D41" s="161">
        <f>'September 2020'!H41</f>
        <v>14957.909999999996</v>
      </c>
      <c r="E41" s="115">
        <v>27000</v>
      </c>
      <c r="F41" s="115"/>
      <c r="G41" s="115">
        <v>16608.66</v>
      </c>
      <c r="H41" s="155">
        <f>D41+E41+F41-G41</f>
        <v>25349.249999999996</v>
      </c>
      <c r="I41" s="23"/>
      <c r="J41" s="65"/>
      <c r="K41" s="6"/>
    </row>
    <row r="42" spans="2:17" ht="15.75" thickBot="1" x14ac:dyDescent="0.3">
      <c r="B42" s="14"/>
      <c r="C42" s="16" t="s">
        <v>21</v>
      </c>
      <c r="D42" s="161">
        <f>'September 2020'!H42</f>
        <v>0</v>
      </c>
      <c r="E42" s="56"/>
      <c r="F42" s="56"/>
      <c r="G42" s="56"/>
      <c r="H42" s="156">
        <f t="shared" si="5"/>
        <v>0</v>
      </c>
      <c r="I42" s="23"/>
      <c r="J42" s="65"/>
      <c r="K42" s="4"/>
    </row>
    <row r="43" spans="2:17" ht="15.75" thickBot="1" x14ac:dyDescent="0.3">
      <c r="B43" s="14"/>
      <c r="C43" s="16" t="s">
        <v>40</v>
      </c>
      <c r="D43" s="161">
        <f>'September 2020'!H43</f>
        <v>-826.20000000000084</v>
      </c>
      <c r="E43" s="160">
        <v>598.83000000000004</v>
      </c>
      <c r="F43" s="56"/>
      <c r="G43" s="160">
        <v>8843.82</v>
      </c>
      <c r="H43" s="157">
        <f>D43+E43+F43-G43</f>
        <v>-9071.19</v>
      </c>
      <c r="I43" s="23"/>
      <c r="J43" s="4"/>
      <c r="K43" s="4"/>
    </row>
    <row r="44" spans="2:17" ht="15.75" thickBot="1" x14ac:dyDescent="0.3">
      <c r="B44" s="769" t="s">
        <v>16</v>
      </c>
      <c r="C44" s="770"/>
      <c r="D44" s="161">
        <f>'September 2020'!H44</f>
        <v>211788.28000000006</v>
      </c>
      <c r="E44" s="61">
        <f>5020+57.79</f>
        <v>5077.79</v>
      </c>
      <c r="F44" s="61"/>
      <c r="G44" s="61">
        <f>27000</f>
        <v>27000</v>
      </c>
      <c r="H44" s="158">
        <f>D44+E44-F44-G44</f>
        <v>189866.07000000007</v>
      </c>
      <c r="I44" s="23"/>
      <c r="J44" s="4"/>
      <c r="K44" s="4"/>
    </row>
    <row r="45" spans="2:17" ht="15.75" thickBot="1" x14ac:dyDescent="0.3">
      <c r="B45" s="80" t="s">
        <v>46</v>
      </c>
      <c r="C45" s="81"/>
      <c r="D45" s="161">
        <f>'September 2020'!H45</f>
        <v>177193.16999999998</v>
      </c>
      <c r="E45" s="28">
        <v>54.79</v>
      </c>
      <c r="F45" s="28"/>
      <c r="G45" s="28">
        <v>1000</v>
      </c>
      <c r="H45" s="159">
        <f>D45+E45+F45-G45</f>
        <v>176247.96</v>
      </c>
      <c r="I45" s="23"/>
      <c r="J45" s="4"/>
      <c r="K45" s="4"/>
    </row>
    <row r="46" spans="2:17" ht="15.75" thickBot="1" x14ac:dyDescent="0.3">
      <c r="B46" s="765"/>
      <c r="C46" s="766"/>
      <c r="D46" s="29">
        <f>SUM(D40+D41+D44+D45+D43+D42)</f>
        <v>403269.2</v>
      </c>
      <c r="E46" s="204">
        <f>SUM(E40:E45)</f>
        <v>32731.410000000003</v>
      </c>
      <c r="F46" s="30">
        <f>SUM(F40:F45)</f>
        <v>0</v>
      </c>
      <c r="G46" s="204">
        <f>SUM(G40:G45)</f>
        <v>53452.479999999996</v>
      </c>
      <c r="H46" s="45">
        <f>SUM(H40+H41+H44+H42+H45+H43)</f>
        <v>382548.13000000006</v>
      </c>
      <c r="I46" s="23"/>
      <c r="J46" s="6"/>
      <c r="K46" s="4"/>
      <c r="L46" s="3"/>
    </row>
    <row r="47" spans="2:17" x14ac:dyDescent="0.25">
      <c r="B47" s="226"/>
      <c r="C47" s="227"/>
      <c r="D47" s="23">
        <f>D35-D46</f>
        <v>710.13000000000466</v>
      </c>
      <c r="E47" s="23"/>
      <c r="F47" s="23"/>
      <c r="G47" s="23"/>
      <c r="H47" s="23">
        <f>G35-H46</f>
        <v>-11127.170000000042</v>
      </c>
      <c r="I47" s="23"/>
      <c r="J47" s="6"/>
      <c r="K47" s="6"/>
      <c r="L47" s="3"/>
    </row>
    <row r="48" spans="2:17" x14ac:dyDescent="0.25">
      <c r="C48" s="7"/>
      <c r="D48" s="23"/>
      <c r="E48" s="23"/>
      <c r="F48" s="23"/>
      <c r="G48" s="23"/>
      <c r="H48" s="23"/>
      <c r="I48" s="23"/>
      <c r="J48" s="6"/>
    </row>
    <row r="49" spans="2:17" ht="15.75" x14ac:dyDescent="0.25">
      <c r="B49" s="767" t="s">
        <v>17</v>
      </c>
      <c r="C49" s="767"/>
      <c r="D49" s="767"/>
      <c r="E49" s="767"/>
      <c r="F49" s="768" t="s">
        <v>18</v>
      </c>
      <c r="G49" s="768"/>
      <c r="H49" s="23"/>
      <c r="I49" s="23"/>
      <c r="K49" s="6"/>
    </row>
    <row r="50" spans="2:17" ht="15.75" x14ac:dyDescent="0.25">
      <c r="B50" s="228"/>
      <c r="C50" s="228"/>
      <c r="D50" s="229"/>
      <c r="E50" s="229"/>
      <c r="F50" s="229"/>
      <c r="G50" s="229"/>
      <c r="H50" s="23"/>
      <c r="I50" s="23"/>
    </row>
    <row r="51" spans="2:17" ht="15.75" x14ac:dyDescent="0.25">
      <c r="B51" s="767" t="s">
        <v>19</v>
      </c>
      <c r="C51" s="767"/>
      <c r="D51" s="767"/>
      <c r="E51" s="767"/>
      <c r="F51" s="768" t="s">
        <v>18</v>
      </c>
      <c r="G51" s="768"/>
      <c r="H51" s="23"/>
      <c r="I51" s="23"/>
    </row>
    <row r="52" spans="2:17" x14ac:dyDescent="0.25">
      <c r="B52" s="226"/>
      <c r="C52" s="227"/>
      <c r="D52" s="3"/>
      <c r="E52" s="3"/>
      <c r="F52" s="3"/>
      <c r="G52" s="4"/>
      <c r="H52" s="3"/>
      <c r="I52" s="3"/>
      <c r="J52" s="6"/>
      <c r="K52" s="4"/>
      <c r="Q52" s="17"/>
    </row>
    <row r="53" spans="2:17" x14ac:dyDescent="0.25">
      <c r="C53" s="7"/>
      <c r="D53" s="6"/>
      <c r="E53" s="6"/>
      <c r="F53" s="6"/>
      <c r="G53" s="6"/>
      <c r="J53" s="6"/>
      <c r="K53" s="8"/>
      <c r="M53" s="3"/>
      <c r="Q53" s="17"/>
    </row>
    <row r="54" spans="2:17" x14ac:dyDescent="0.25">
      <c r="C54" s="7"/>
      <c r="D54" s="4"/>
      <c r="E54" s="6"/>
      <c r="G54" s="6"/>
      <c r="K54" s="6"/>
    </row>
  </sheetData>
  <mergeCells count="17">
    <mergeCell ref="B46:C46"/>
    <mergeCell ref="B49:E49"/>
    <mergeCell ref="F49:G49"/>
    <mergeCell ref="B51:E51"/>
    <mergeCell ref="F51:G51"/>
    <mergeCell ref="B44:C44"/>
    <mergeCell ref="B2:H2"/>
    <mergeCell ref="B3:H3"/>
    <mergeCell ref="B5:C5"/>
    <mergeCell ref="B6:C6"/>
    <mergeCell ref="B17:C17"/>
    <mergeCell ref="B23:C23"/>
    <mergeCell ref="B30:C30"/>
    <mergeCell ref="B35:C35"/>
    <mergeCell ref="B39:C39"/>
    <mergeCell ref="B40:C40"/>
    <mergeCell ref="B41:C41"/>
  </mergeCells>
  <pageMargins left="0.7" right="0.7" top="0.75" bottom="0.75" header="0.3" footer="0.3"/>
  <pageSetup scale="82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1F628-7B73-4615-B153-15CD328D3B7B}">
  <sheetPr>
    <pageSetUpPr fitToPage="1"/>
  </sheetPr>
  <dimension ref="A1:S54"/>
  <sheetViews>
    <sheetView topLeftCell="A22" zoomScale="110" zoomScaleNormal="110" workbookViewId="0">
      <selection activeCell="F32" sqref="F32"/>
    </sheetView>
  </sheetViews>
  <sheetFormatPr defaultColWidth="9.140625" defaultRowHeight="15" x14ac:dyDescent="0.25"/>
  <cols>
    <col min="1" max="1" width="3" customWidth="1"/>
    <col min="2" max="2" width="5.7109375" customWidth="1"/>
    <col min="3" max="3" width="33.85546875" bestFit="1" customWidth="1"/>
    <col min="4" max="4" width="13.85546875" customWidth="1"/>
    <col min="5" max="5" width="12.5703125" customWidth="1"/>
    <col min="6" max="6" width="15.28515625" customWidth="1"/>
    <col min="7" max="8" width="12.5703125" customWidth="1"/>
    <col min="9" max="9" width="15.7109375" customWidth="1"/>
    <col min="10" max="10" width="14.7109375" customWidth="1"/>
    <col min="11" max="11" width="14.5703125" customWidth="1"/>
    <col min="12" max="12" width="11.28515625" customWidth="1"/>
    <col min="17" max="17" width="13" customWidth="1"/>
  </cols>
  <sheetData>
    <row r="1" spans="1:19" hidden="1" x14ac:dyDescent="0.25"/>
    <row r="2" spans="1:19" ht="21" x14ac:dyDescent="0.35">
      <c r="B2" s="771" t="s">
        <v>0</v>
      </c>
      <c r="C2" s="771"/>
      <c r="D2" s="771"/>
      <c r="E2" s="771"/>
      <c r="F2" s="771"/>
      <c r="G2" s="771"/>
      <c r="H2" s="771"/>
      <c r="I2" s="250"/>
    </row>
    <row r="3" spans="1:19" ht="18.75" x14ac:dyDescent="0.3">
      <c r="B3" s="772" t="s">
        <v>74</v>
      </c>
      <c r="C3" s="772"/>
      <c r="D3" s="772"/>
      <c r="E3" s="772"/>
      <c r="F3" s="772"/>
      <c r="G3" s="772"/>
      <c r="H3" s="772"/>
      <c r="I3" s="251"/>
    </row>
    <row r="4" spans="1:19" ht="15.75" thickBot="1" x14ac:dyDescent="0.3">
      <c r="B4" s="1"/>
      <c r="C4" s="51" t="s">
        <v>37</v>
      </c>
      <c r="D4" s="1"/>
      <c r="E4" s="1"/>
      <c r="F4" s="1"/>
      <c r="G4" s="2"/>
      <c r="J4" s="88"/>
    </row>
    <row r="5" spans="1:19" x14ac:dyDescent="0.25">
      <c r="B5" s="773" t="s">
        <v>1</v>
      </c>
      <c r="C5" s="774"/>
      <c r="D5" s="24" t="s">
        <v>2</v>
      </c>
      <c r="E5" s="24" t="s">
        <v>3</v>
      </c>
      <c r="F5" s="24" t="s">
        <v>58</v>
      </c>
      <c r="G5" s="24" t="s">
        <v>5</v>
      </c>
      <c r="H5" s="24" t="s">
        <v>6</v>
      </c>
      <c r="I5" s="50"/>
      <c r="J5" s="50"/>
    </row>
    <row r="6" spans="1:19" x14ac:dyDescent="0.25">
      <c r="B6" s="775" t="s">
        <v>7</v>
      </c>
      <c r="C6" s="776"/>
      <c r="D6" s="25">
        <f>SUM(D7:D16)</f>
        <v>76126.570000000007</v>
      </c>
      <c r="E6" s="62">
        <f>SUM(E7:E16)</f>
        <v>989.53</v>
      </c>
      <c r="F6" s="62">
        <f>SUM(F7:F16)</f>
        <v>-8720.9800000000014</v>
      </c>
      <c r="G6" s="62">
        <f>SUM(G7:G16)</f>
        <v>85837.080000000031</v>
      </c>
      <c r="H6" s="63">
        <f>SUM(H7:H15)</f>
        <v>0</v>
      </c>
      <c r="I6" s="73"/>
      <c r="J6" s="73"/>
      <c r="K6" s="73"/>
      <c r="L6" s="23"/>
      <c r="Q6" s="23"/>
      <c r="S6" s="23"/>
    </row>
    <row r="7" spans="1:19" ht="15.75" customHeight="1" x14ac:dyDescent="0.25">
      <c r="B7" s="11"/>
      <c r="C7" s="22" t="s">
        <v>23</v>
      </c>
      <c r="D7" s="122">
        <f>'October 2020'!G7</f>
        <v>94811.960000000021</v>
      </c>
      <c r="E7" s="139">
        <f>102.65+814.89</f>
        <v>917.54</v>
      </c>
      <c r="F7" s="139">
        <f>1000+2721.05+864.18-19580.72+2675</f>
        <v>-12320.490000000002</v>
      </c>
      <c r="G7" s="89">
        <f t="shared" ref="G7:G16" si="0">D7+E7-F7</f>
        <v>108049.99000000002</v>
      </c>
      <c r="H7" s="165"/>
      <c r="I7" s="125"/>
      <c r="J7" s="23"/>
    </row>
    <row r="8" spans="1:19" x14ac:dyDescent="0.25">
      <c r="B8" s="12"/>
      <c r="C8" s="52" t="s">
        <v>62</v>
      </c>
      <c r="D8" s="122">
        <f>'October 2020'!G8</f>
        <v>-2723.85</v>
      </c>
      <c r="E8" s="166"/>
      <c r="F8" s="154">
        <v>2012.83</v>
      </c>
      <c r="G8" s="108">
        <f t="shared" si="0"/>
        <v>-4736.68</v>
      </c>
      <c r="H8" s="165"/>
      <c r="I8" s="73"/>
      <c r="J8" s="23"/>
    </row>
    <row r="9" spans="1:19" hidden="1" x14ac:dyDescent="0.25">
      <c r="B9" s="12"/>
      <c r="C9" s="53" t="s">
        <v>67</v>
      </c>
      <c r="D9" s="122">
        <f>'October 2020'!G9</f>
        <v>0</v>
      </c>
      <c r="E9" s="166"/>
      <c r="F9" s="166"/>
      <c r="G9" s="89">
        <f t="shared" si="0"/>
        <v>0</v>
      </c>
      <c r="H9" s="165"/>
      <c r="I9" s="73"/>
      <c r="J9" s="71"/>
      <c r="K9" s="23"/>
    </row>
    <row r="10" spans="1:19" x14ac:dyDescent="0.25">
      <c r="B10" s="12"/>
      <c r="C10" s="53" t="s">
        <v>41</v>
      </c>
      <c r="D10" s="122">
        <f>'October 2020'!G10</f>
        <v>-13668.330000000002</v>
      </c>
      <c r="E10" s="152"/>
      <c r="F10" s="152">
        <v>749.69</v>
      </c>
      <c r="G10" s="108">
        <f t="shared" si="0"/>
        <v>-14418.020000000002</v>
      </c>
      <c r="H10" s="165"/>
      <c r="I10" s="73"/>
      <c r="J10" s="236"/>
      <c r="K10" s="23"/>
    </row>
    <row r="11" spans="1:19" hidden="1" x14ac:dyDescent="0.25">
      <c r="B11" s="12"/>
      <c r="C11" s="53" t="s">
        <v>29</v>
      </c>
      <c r="D11" s="122">
        <f>'October 2020'!G11</f>
        <v>0</v>
      </c>
      <c r="E11" s="70"/>
      <c r="F11" s="70"/>
      <c r="G11" s="89">
        <f t="shared" si="0"/>
        <v>0</v>
      </c>
      <c r="H11" s="165"/>
      <c r="I11" s="73"/>
      <c r="J11" s="93"/>
    </row>
    <row r="12" spans="1:19" x14ac:dyDescent="0.25">
      <c r="B12" s="12"/>
      <c r="C12" s="53" t="s">
        <v>20</v>
      </c>
      <c r="D12" s="122">
        <f>'October 2020'!G12</f>
        <v>144.44999999999982</v>
      </c>
      <c r="E12" s="152">
        <v>67.36</v>
      </c>
      <c r="F12" s="167">
        <f>250+58.1</f>
        <v>308.10000000000002</v>
      </c>
      <c r="G12" s="181">
        <f t="shared" si="0"/>
        <v>-96.290000000000191</v>
      </c>
      <c r="H12" s="165"/>
      <c r="I12" s="73"/>
      <c r="J12" s="23"/>
    </row>
    <row r="13" spans="1:19" x14ac:dyDescent="0.25">
      <c r="B13" s="12"/>
      <c r="C13" s="53" t="s">
        <v>22</v>
      </c>
      <c r="D13" s="122">
        <f>'October 2020'!G13</f>
        <v>-5.2400000000000864</v>
      </c>
      <c r="E13" s="152">
        <v>4.63</v>
      </c>
      <c r="F13" s="167"/>
      <c r="G13" s="181">
        <f t="shared" si="0"/>
        <v>-0.61000000000008647</v>
      </c>
      <c r="H13" s="165"/>
      <c r="I13" s="73"/>
      <c r="J13" s="23"/>
    </row>
    <row r="14" spans="1:19" x14ac:dyDescent="0.25">
      <c r="B14" s="12"/>
      <c r="C14" s="53" t="s">
        <v>28</v>
      </c>
      <c r="D14" s="122">
        <f>'October 2020'!G14</f>
        <v>-2851.5800000000008</v>
      </c>
      <c r="E14" s="167"/>
      <c r="F14" s="152">
        <v>528.89</v>
      </c>
      <c r="G14" s="108">
        <f t="shared" si="0"/>
        <v>-3380.4700000000007</v>
      </c>
      <c r="H14" s="165"/>
      <c r="I14" s="73"/>
      <c r="J14" s="23"/>
    </row>
    <row r="15" spans="1:19" x14ac:dyDescent="0.25">
      <c r="A15" t="s">
        <v>26</v>
      </c>
      <c r="B15" s="12"/>
      <c r="C15" s="18" t="s">
        <v>42</v>
      </c>
      <c r="D15" s="122">
        <f>'October 2020'!G15</f>
        <v>667.78000000000009</v>
      </c>
      <c r="E15" s="166"/>
      <c r="F15" s="166"/>
      <c r="G15" s="96">
        <f t="shared" si="0"/>
        <v>667.78000000000009</v>
      </c>
      <c r="H15" s="165"/>
      <c r="I15" s="73"/>
      <c r="J15" s="23"/>
    </row>
    <row r="16" spans="1:19" x14ac:dyDescent="0.25">
      <c r="B16" s="12"/>
      <c r="C16" s="18" t="s">
        <v>43</v>
      </c>
      <c r="D16" s="122">
        <f>'October 2020'!G16</f>
        <v>-248.62000000000023</v>
      </c>
      <c r="E16" s="166"/>
      <c r="F16" s="166"/>
      <c r="G16" s="181">
        <f t="shared" si="0"/>
        <v>-248.62000000000023</v>
      </c>
      <c r="H16" s="165"/>
      <c r="I16" s="73"/>
      <c r="J16" s="73"/>
      <c r="Q16" s="23"/>
    </row>
    <row r="17" spans="2:17" x14ac:dyDescent="0.25">
      <c r="B17" s="777" t="s">
        <v>53</v>
      </c>
      <c r="C17" s="778"/>
      <c r="D17" s="141">
        <f>SUM(D18:D22)</f>
        <v>-2224.130000000001</v>
      </c>
      <c r="E17" s="107">
        <f>SUM(E18:E22)</f>
        <v>0</v>
      </c>
      <c r="F17" s="107">
        <f>SUM(F18:F22)</f>
        <v>1976.77</v>
      </c>
      <c r="G17" s="108">
        <f>SUM(G18:G22)</f>
        <v>-4200.9000000000005</v>
      </c>
      <c r="H17" s="169"/>
      <c r="I17" s="73"/>
      <c r="J17" s="73"/>
      <c r="Q17" s="23"/>
    </row>
    <row r="18" spans="2:17" x14ac:dyDescent="0.25">
      <c r="B18" s="13"/>
      <c r="C18" s="40" t="s">
        <v>9</v>
      </c>
      <c r="D18" s="140">
        <f>'October 2020'!G18</f>
        <v>7592.3600000000006</v>
      </c>
      <c r="E18" s="261"/>
      <c r="F18" s="257"/>
      <c r="G18" s="137">
        <f>D18+E18-F18</f>
        <v>7592.3600000000006</v>
      </c>
      <c r="H18" s="166"/>
      <c r="I18" s="73"/>
      <c r="J18" s="23"/>
      <c r="K18" s="4"/>
    </row>
    <row r="19" spans="2:17" x14ac:dyDescent="0.25">
      <c r="B19" s="12"/>
      <c r="C19" s="55" t="s">
        <v>8</v>
      </c>
      <c r="D19" s="140">
        <f>'October 2020'!G19</f>
        <v>-2085.3100000000004</v>
      </c>
      <c r="E19" s="167"/>
      <c r="F19" s="152">
        <v>1541.02</v>
      </c>
      <c r="G19" s="137">
        <f>D19+E19-F19</f>
        <v>-3626.3300000000004</v>
      </c>
      <c r="H19" s="170"/>
      <c r="I19" s="73"/>
      <c r="J19" s="23"/>
    </row>
    <row r="20" spans="2:17" x14ac:dyDescent="0.25">
      <c r="B20" s="12"/>
      <c r="C20" s="55" t="s">
        <v>32</v>
      </c>
      <c r="D20" s="140">
        <f>'October 2020'!G20</f>
        <v>1719.5999999999995</v>
      </c>
      <c r="E20" s="167"/>
      <c r="F20" s="152">
        <v>116.2</v>
      </c>
      <c r="G20" s="137">
        <f>D20+E20-F20</f>
        <v>1603.3999999999994</v>
      </c>
      <c r="H20" s="171"/>
      <c r="I20" s="73"/>
      <c r="J20" s="23"/>
    </row>
    <row r="21" spans="2:17" x14ac:dyDescent="0.25">
      <c r="B21" s="12"/>
      <c r="C21" s="55" t="s">
        <v>67</v>
      </c>
      <c r="D21" s="140">
        <f>'October 2020'!G21</f>
        <v>9.9999999999909051E-3</v>
      </c>
      <c r="E21" s="167"/>
      <c r="F21" s="167"/>
      <c r="G21" s="137">
        <f>D21+E21-F21</f>
        <v>9.9999999999909051E-3</v>
      </c>
      <c r="H21" s="171"/>
      <c r="I21" s="73"/>
      <c r="J21" s="23"/>
    </row>
    <row r="22" spans="2:17" x14ac:dyDescent="0.25">
      <c r="B22" s="10"/>
      <c r="C22" s="41" t="s">
        <v>38</v>
      </c>
      <c r="D22" s="140">
        <f>'October 2020'!G22</f>
        <v>-9450.7900000000009</v>
      </c>
      <c r="E22" s="28"/>
      <c r="F22" s="257">
        <v>319.55</v>
      </c>
      <c r="G22" s="137">
        <f>D22+E22-F22</f>
        <v>-9770.34</v>
      </c>
      <c r="H22" s="166">
        <v>8500</v>
      </c>
      <c r="I22" s="73"/>
      <c r="J22" s="23"/>
      <c r="K22" s="4"/>
    </row>
    <row r="23" spans="2:17" x14ac:dyDescent="0.25">
      <c r="B23" s="775" t="s">
        <v>10</v>
      </c>
      <c r="C23" s="776"/>
      <c r="D23" s="141">
        <f>SUM(D24:D29)</f>
        <v>242672.07</v>
      </c>
      <c r="E23" s="259">
        <f>SUM(E24:E29)</f>
        <v>9760.0400000000009</v>
      </c>
      <c r="F23" s="111">
        <f>SUM(F24:F29)</f>
        <v>14844.76</v>
      </c>
      <c r="G23" s="111">
        <f>SUM(G24:G29)</f>
        <v>237587.35</v>
      </c>
      <c r="H23" s="173">
        <f>SUM(H29:H33)</f>
        <v>0</v>
      </c>
      <c r="I23" s="73"/>
      <c r="J23" s="73"/>
      <c r="Q23" s="23"/>
    </row>
    <row r="24" spans="2:17" x14ac:dyDescent="0.25">
      <c r="B24" s="13"/>
      <c r="C24" s="37" t="s">
        <v>55</v>
      </c>
      <c r="D24" s="140">
        <f>'October 2020'!G24</f>
        <v>5637.4900000000007</v>
      </c>
      <c r="E24" s="26"/>
      <c r="F24" s="261">
        <v>3253.6</v>
      </c>
      <c r="G24" s="121">
        <f t="shared" ref="G24:G29" si="1">D24+E24-F24</f>
        <v>2383.8900000000008</v>
      </c>
      <c r="H24" s="139"/>
      <c r="I24" s="73"/>
      <c r="J24" s="23"/>
      <c r="K24" s="5"/>
    </row>
    <row r="25" spans="2:17" x14ac:dyDescent="0.25">
      <c r="B25" s="10"/>
      <c r="C25" s="18" t="s">
        <v>70</v>
      </c>
      <c r="D25" s="140">
        <f>'October 2020'!G25</f>
        <v>18710</v>
      </c>
      <c r="E25" s="28"/>
      <c r="F25" s="28"/>
      <c r="G25" s="121">
        <f t="shared" si="1"/>
        <v>18710</v>
      </c>
      <c r="H25" s="166"/>
      <c r="I25" s="73"/>
      <c r="J25" s="23"/>
      <c r="K25" s="5"/>
    </row>
    <row r="26" spans="2:17" x14ac:dyDescent="0.25">
      <c r="B26" s="11"/>
      <c r="C26" s="19" t="s">
        <v>34</v>
      </c>
      <c r="D26" s="140">
        <f>'October 2020'!G26</f>
        <v>-9760.0399999999954</v>
      </c>
      <c r="E26" s="257">
        <v>9760.0400000000009</v>
      </c>
      <c r="F26" s="260"/>
      <c r="G26" s="121">
        <f t="shared" si="1"/>
        <v>5.4569682106375694E-12</v>
      </c>
      <c r="H26" s="166"/>
      <c r="I26" s="74"/>
      <c r="J26" s="23"/>
      <c r="K26" s="23"/>
    </row>
    <row r="27" spans="2:17" x14ac:dyDescent="0.25">
      <c r="B27" s="11"/>
      <c r="C27" s="19" t="s">
        <v>39</v>
      </c>
      <c r="D27" s="140">
        <f>'October 2020'!G27</f>
        <v>93656.05</v>
      </c>
      <c r="E27" s="28"/>
      <c r="F27" s="257">
        <v>11591.16</v>
      </c>
      <c r="G27" s="121">
        <f t="shared" si="1"/>
        <v>82064.89</v>
      </c>
      <c r="H27" s="166"/>
      <c r="I27" s="74"/>
      <c r="J27" s="23"/>
      <c r="K27" s="23"/>
    </row>
    <row r="28" spans="2:17" x14ac:dyDescent="0.25">
      <c r="B28" s="11"/>
      <c r="C28" s="19" t="s">
        <v>65</v>
      </c>
      <c r="D28" s="140">
        <f>'October 2020'!G28</f>
        <v>134492</v>
      </c>
      <c r="E28" s="28"/>
      <c r="F28" s="28"/>
      <c r="G28" s="121">
        <f t="shared" si="1"/>
        <v>134492</v>
      </c>
      <c r="H28" s="166"/>
      <c r="I28" s="74"/>
      <c r="J28" s="23"/>
      <c r="K28" s="23"/>
    </row>
    <row r="29" spans="2:17" x14ac:dyDescent="0.25">
      <c r="B29" s="10"/>
      <c r="C29" s="18" t="s">
        <v>44</v>
      </c>
      <c r="D29" s="140">
        <f>'October 2020'!G29</f>
        <v>-63.429999999999986</v>
      </c>
      <c r="E29" s="28"/>
      <c r="F29" s="257"/>
      <c r="G29" s="121">
        <f t="shared" si="1"/>
        <v>-63.429999999999986</v>
      </c>
      <c r="H29" s="166"/>
      <c r="I29" s="73"/>
      <c r="J29" s="23"/>
      <c r="K29" s="5"/>
    </row>
    <row r="30" spans="2:17" x14ac:dyDescent="0.25">
      <c r="B30" s="775" t="s">
        <v>35</v>
      </c>
      <c r="C30" s="776"/>
      <c r="D30" s="141">
        <f>SUM(D31:D34)</f>
        <v>54846.45</v>
      </c>
      <c r="E30" s="259">
        <f>SUM(E31:E34)</f>
        <v>0</v>
      </c>
      <c r="F30" s="111">
        <f>SUM(F31:F34)</f>
        <v>957</v>
      </c>
      <c r="G30" s="111">
        <f>SUM(G31:G34)</f>
        <v>53889.45</v>
      </c>
      <c r="H30" s="173">
        <f>SUM(H31:H33)</f>
        <v>0</v>
      </c>
      <c r="I30" s="73"/>
      <c r="J30" s="73"/>
      <c r="Q30" s="23"/>
    </row>
    <row r="31" spans="2:17" x14ac:dyDescent="0.25">
      <c r="B31" s="10"/>
      <c r="C31" s="18" t="s">
        <v>69</v>
      </c>
      <c r="D31" s="140">
        <f>'October 2020'!G31</f>
        <v>34214.86</v>
      </c>
      <c r="E31" s="28"/>
      <c r="F31" s="258"/>
      <c r="G31" s="119">
        <f>D31+E31-F31</f>
        <v>34214.86</v>
      </c>
      <c r="H31" s="166"/>
      <c r="I31" s="73"/>
      <c r="J31" s="23"/>
      <c r="K31" s="5"/>
    </row>
    <row r="32" spans="2:17" x14ac:dyDescent="0.25">
      <c r="B32" s="10"/>
      <c r="C32" s="20" t="s">
        <v>64</v>
      </c>
      <c r="D32" s="140">
        <f>'October 2020'!G32</f>
        <v>20631.589999999997</v>
      </c>
      <c r="E32" s="28"/>
      <c r="F32" s="257">
        <f>325.39+631.61</f>
        <v>957</v>
      </c>
      <c r="G32" s="119">
        <f>D32+E32-F32</f>
        <v>19674.589999999997</v>
      </c>
      <c r="H32" s="166"/>
      <c r="I32" s="73"/>
      <c r="J32" s="93"/>
      <c r="K32" s="3"/>
    </row>
    <row r="33" spans="2:17" ht="17.25" customHeight="1" x14ac:dyDescent="0.25">
      <c r="B33" s="10"/>
      <c r="C33" s="21" t="s">
        <v>33</v>
      </c>
      <c r="D33" s="140">
        <f>'October 2020'!G33</f>
        <v>0</v>
      </c>
      <c r="E33" s="28"/>
      <c r="F33" s="28"/>
      <c r="G33" s="28">
        <f>D33+E33-F33</f>
        <v>0</v>
      </c>
      <c r="H33" s="166"/>
      <c r="I33" s="73"/>
      <c r="J33" s="23"/>
      <c r="K33" s="4"/>
      <c r="Q33" s="23"/>
    </row>
    <row r="34" spans="2:17" ht="17.25" customHeight="1" thickBot="1" x14ac:dyDescent="0.3">
      <c r="C34" s="104" t="s">
        <v>47</v>
      </c>
      <c r="D34" s="140">
        <f>'October 2020'!G34</f>
        <v>0</v>
      </c>
      <c r="E34" s="28"/>
      <c r="F34" s="28"/>
      <c r="G34" s="28">
        <f>D34+E34-F34</f>
        <v>0</v>
      </c>
      <c r="H34" s="166"/>
      <c r="I34" s="73"/>
      <c r="J34" s="23"/>
      <c r="K34" s="4"/>
      <c r="Q34" s="23"/>
    </row>
    <row r="35" spans="2:17" ht="15.75" thickBot="1" x14ac:dyDescent="0.3">
      <c r="B35" s="779" t="s">
        <v>11</v>
      </c>
      <c r="C35" s="766"/>
      <c r="D35" s="38">
        <f>D6+D17+D23+D30</f>
        <v>371420.96</v>
      </c>
      <c r="E35" s="256">
        <f>SUM(E23,E17,E6,E30)</f>
        <v>10749.570000000002</v>
      </c>
      <c r="F35" s="256">
        <f>SUM(F23,F17,F6,F30)</f>
        <v>9057.5499999999975</v>
      </c>
      <c r="G35" s="44">
        <f>SUM(G23,G17,G6,G30)</f>
        <v>373112.98000000004</v>
      </c>
      <c r="H35" s="78">
        <f>SUM(H6,H16,H23,H30)</f>
        <v>0</v>
      </c>
      <c r="I35" s="23"/>
      <c r="J35" s="23"/>
      <c r="K35" s="6"/>
    </row>
    <row r="36" spans="2:17" hidden="1" x14ac:dyDescent="0.25">
      <c r="B36" s="252"/>
      <c r="C36" s="253"/>
      <c r="D36" s="23">
        <f>SUM(D17:D22)</f>
        <v>-4448.260000000002</v>
      </c>
      <c r="E36" s="23"/>
      <c r="F36" s="23"/>
      <c r="G36" s="23"/>
      <c r="H36" s="49"/>
      <c r="I36" s="23"/>
      <c r="L36" t="s">
        <v>12</v>
      </c>
      <c r="M36">
        <v>42.43</v>
      </c>
    </row>
    <row r="37" spans="2:17" ht="15.75" hidden="1" thickBot="1" x14ac:dyDescent="0.3">
      <c r="B37" s="9" t="s">
        <v>25</v>
      </c>
      <c r="C37" s="15"/>
      <c r="D37" s="33" t="e">
        <f>SUM(D35,#REF!)</f>
        <v>#REF!</v>
      </c>
      <c r="E37" s="34" t="e">
        <f>SUM(E35,#REF!)</f>
        <v>#REF!</v>
      </c>
      <c r="F37" s="34" t="e">
        <f>SUM(F35,#REF!)</f>
        <v>#REF!</v>
      </c>
      <c r="G37" s="35" t="e">
        <f>SUM(G35,#REF!)</f>
        <v>#REF!</v>
      </c>
      <c r="H37" s="49"/>
      <c r="I37" s="23"/>
      <c r="J37" s="6"/>
      <c r="K37" s="4">
        <v>206730.35</v>
      </c>
    </row>
    <row r="38" spans="2:17" ht="15.75" thickBot="1" x14ac:dyDescent="0.3">
      <c r="C38" s="7"/>
      <c r="D38" s="23"/>
      <c r="E38" s="23"/>
      <c r="F38" s="23"/>
      <c r="G38" s="23"/>
      <c r="H38" s="49"/>
      <c r="I38" s="64"/>
      <c r="J38" s="6"/>
      <c r="K38" s="4"/>
      <c r="Q38" s="23"/>
    </row>
    <row r="39" spans="2:17" ht="15.75" thickBot="1" x14ac:dyDescent="0.3">
      <c r="B39" s="780" t="s">
        <v>13</v>
      </c>
      <c r="C39" s="781"/>
      <c r="D39" s="31" t="s">
        <v>2</v>
      </c>
      <c r="E39" s="31" t="s">
        <v>3</v>
      </c>
      <c r="F39" s="31" t="s">
        <v>24</v>
      </c>
      <c r="G39" s="31" t="s">
        <v>27</v>
      </c>
      <c r="H39" s="31" t="s">
        <v>5</v>
      </c>
      <c r="I39" s="50"/>
      <c r="J39" s="6"/>
      <c r="K39" s="8"/>
    </row>
    <row r="40" spans="2:17" ht="15.75" thickBot="1" x14ac:dyDescent="0.3">
      <c r="B40" s="769" t="s">
        <v>14</v>
      </c>
      <c r="C40" s="770"/>
      <c r="D40" s="161">
        <f>'October 2020'!H40</f>
        <v>156.04000000000002</v>
      </c>
      <c r="E40" s="162"/>
      <c r="F40" s="162"/>
      <c r="G40" s="162"/>
      <c r="H40" s="114">
        <f>D40+E40+F40-G40</f>
        <v>156.04000000000002</v>
      </c>
      <c r="I40" s="23"/>
      <c r="K40" s="6"/>
      <c r="L40" s="4"/>
    </row>
    <row r="41" spans="2:17" ht="15.75" thickBot="1" x14ac:dyDescent="0.3">
      <c r="B41" s="782" t="s">
        <v>15</v>
      </c>
      <c r="C41" s="783"/>
      <c r="D41" s="161">
        <f>'October 2020'!H41</f>
        <v>25349.249999999996</v>
      </c>
      <c r="E41" s="115">
        <v>17000</v>
      </c>
      <c r="F41" s="115"/>
      <c r="G41" s="115">
        <v>29418.67</v>
      </c>
      <c r="H41" s="59">
        <f>D41+E41+F41-G41</f>
        <v>12930.580000000002</v>
      </c>
      <c r="I41" s="23"/>
      <c r="J41" s="65"/>
      <c r="K41" s="6"/>
    </row>
    <row r="42" spans="2:17" ht="15.75" thickBot="1" x14ac:dyDescent="0.3">
      <c r="B42" s="14"/>
      <c r="C42" s="16" t="s">
        <v>21</v>
      </c>
      <c r="D42" s="161">
        <f>'October 2020'!H42</f>
        <v>0</v>
      </c>
      <c r="E42" s="56"/>
      <c r="F42" s="56"/>
      <c r="G42" s="56"/>
      <c r="H42" s="56">
        <f>D42+E42+F42-G42</f>
        <v>0</v>
      </c>
      <c r="I42" s="23"/>
      <c r="J42" s="65"/>
      <c r="K42" s="4"/>
    </row>
    <row r="43" spans="2:17" ht="15.75" thickBot="1" x14ac:dyDescent="0.3">
      <c r="B43" s="14"/>
      <c r="C43" s="16" t="s">
        <v>40</v>
      </c>
      <c r="D43" s="161">
        <f>'October 2020'!H43</f>
        <v>-9071.19</v>
      </c>
      <c r="E43" s="160">
        <v>8843.82</v>
      </c>
      <c r="F43" s="56"/>
      <c r="G43" s="160">
        <v>1899.15</v>
      </c>
      <c r="H43" s="60">
        <f>D43+E43+F43-G43</f>
        <v>-2126.5200000000009</v>
      </c>
      <c r="I43" s="23"/>
      <c r="J43" s="4"/>
      <c r="K43" s="4"/>
    </row>
    <row r="44" spans="2:17" ht="15.75" thickBot="1" x14ac:dyDescent="0.3">
      <c r="B44" s="769" t="s">
        <v>16</v>
      </c>
      <c r="C44" s="770"/>
      <c r="D44" s="161">
        <f>'October 2020'!H44</f>
        <v>189866.07000000007</v>
      </c>
      <c r="E44" s="61">
        <v>31139.57</v>
      </c>
      <c r="F44" s="61"/>
      <c r="G44" s="61">
        <f>17000+6020</f>
        <v>23020</v>
      </c>
      <c r="H44" s="58">
        <f>D44+E44-F44-G44</f>
        <v>197985.64000000007</v>
      </c>
      <c r="I44" s="23"/>
      <c r="J44" s="4"/>
      <c r="K44" s="4"/>
    </row>
    <row r="45" spans="2:17" ht="15.75" thickBot="1" x14ac:dyDescent="0.3">
      <c r="B45" s="80" t="s">
        <v>46</v>
      </c>
      <c r="C45" s="81"/>
      <c r="D45" s="161">
        <f>'October 2020'!H45</f>
        <v>176247.96</v>
      </c>
      <c r="E45" s="28">
        <v>46.4</v>
      </c>
      <c r="F45" s="28"/>
      <c r="G45" s="28">
        <v>1000</v>
      </c>
      <c r="H45" s="48">
        <f>D45+E45+F45-G45</f>
        <v>175294.36</v>
      </c>
      <c r="I45" s="23"/>
      <c r="J45" s="4"/>
      <c r="K45" s="4"/>
    </row>
    <row r="46" spans="2:17" ht="15.75" thickBot="1" x14ac:dyDescent="0.3">
      <c r="B46" s="765"/>
      <c r="C46" s="766"/>
      <c r="D46" s="29">
        <f>SUM(D40+D41+D44+D45+D43+D42)</f>
        <v>382548.13000000006</v>
      </c>
      <c r="E46" s="30">
        <f>SUM(E40:E45)</f>
        <v>57029.79</v>
      </c>
      <c r="F46" s="30">
        <f>SUM(F40:F45)</f>
        <v>0</v>
      </c>
      <c r="G46" s="30">
        <f>SUM(G40:G45)</f>
        <v>55337.82</v>
      </c>
      <c r="H46" s="45">
        <f>SUM(H40+H41+H44+H42+H45+H43)</f>
        <v>384240.10000000003</v>
      </c>
      <c r="I46" s="23"/>
      <c r="J46" s="6"/>
      <c r="K46" s="4"/>
      <c r="L46" s="3"/>
    </row>
    <row r="47" spans="2:17" x14ac:dyDescent="0.25">
      <c r="B47" s="252"/>
      <c r="C47" s="253"/>
      <c r="D47" s="23">
        <f>D35-D46</f>
        <v>-11127.170000000042</v>
      </c>
      <c r="E47" s="23"/>
      <c r="F47" s="23"/>
      <c r="G47" s="23"/>
      <c r="H47" s="23">
        <f>G35-H46</f>
        <v>-11127.119999999995</v>
      </c>
      <c r="I47" s="23"/>
      <c r="J47" s="6"/>
      <c r="K47" s="6"/>
      <c r="L47" s="3"/>
    </row>
    <row r="48" spans="2:17" x14ac:dyDescent="0.25">
      <c r="C48" s="7"/>
      <c r="D48" s="23"/>
      <c r="E48" s="23"/>
      <c r="F48" s="23"/>
      <c r="G48" s="23"/>
      <c r="H48" s="23"/>
      <c r="I48" s="23"/>
      <c r="J48" s="6"/>
    </row>
    <row r="49" spans="2:17" ht="15.75" x14ac:dyDescent="0.25">
      <c r="B49" s="767" t="s">
        <v>17</v>
      </c>
      <c r="C49" s="767"/>
      <c r="D49" s="767"/>
      <c r="E49" s="767"/>
      <c r="F49" s="768" t="s">
        <v>18</v>
      </c>
      <c r="G49" s="768"/>
      <c r="H49" s="23"/>
      <c r="I49" s="23"/>
      <c r="K49" s="6"/>
    </row>
    <row r="50" spans="2:17" ht="15.75" x14ac:dyDescent="0.25">
      <c r="B50" s="254"/>
      <c r="C50" s="254"/>
      <c r="D50" s="255"/>
      <c r="E50" s="255"/>
      <c r="F50" s="255"/>
      <c r="G50" s="255"/>
      <c r="H50" s="23"/>
      <c r="I50" s="23"/>
    </row>
    <row r="51" spans="2:17" ht="15.75" x14ac:dyDescent="0.25">
      <c r="B51" s="767" t="s">
        <v>19</v>
      </c>
      <c r="C51" s="767"/>
      <c r="D51" s="767"/>
      <c r="E51" s="767"/>
      <c r="F51" s="768" t="s">
        <v>18</v>
      </c>
      <c r="G51" s="768"/>
      <c r="H51" s="23"/>
      <c r="I51" s="23"/>
    </row>
    <row r="52" spans="2:17" x14ac:dyDescent="0.25">
      <c r="B52" s="252"/>
      <c r="C52" s="253"/>
      <c r="D52" s="3"/>
      <c r="E52" s="3"/>
      <c r="F52" s="3"/>
      <c r="G52" s="4"/>
      <c r="H52" s="3"/>
      <c r="I52" s="3"/>
      <c r="J52" s="6"/>
      <c r="K52" s="4"/>
      <c r="Q52" s="17"/>
    </row>
    <row r="53" spans="2:17" x14ac:dyDescent="0.25">
      <c r="C53" s="7"/>
      <c r="D53" s="6"/>
      <c r="E53" s="6"/>
      <c r="F53" s="6"/>
      <c r="G53" s="6"/>
      <c r="J53" s="6"/>
      <c r="K53" s="8"/>
      <c r="M53" s="3"/>
      <c r="Q53" s="17"/>
    </row>
    <row r="54" spans="2:17" x14ac:dyDescent="0.25">
      <c r="C54" s="7"/>
      <c r="D54" s="4"/>
      <c r="E54" s="6"/>
      <c r="G54" s="6"/>
      <c r="K54" s="6"/>
    </row>
  </sheetData>
  <mergeCells count="17">
    <mergeCell ref="B23:C23"/>
    <mergeCell ref="B46:C46"/>
    <mergeCell ref="B49:E49"/>
    <mergeCell ref="F49:G49"/>
    <mergeCell ref="B51:E51"/>
    <mergeCell ref="F51:G51"/>
    <mergeCell ref="B44:C44"/>
    <mergeCell ref="B30:C30"/>
    <mergeCell ref="B35:C35"/>
    <mergeCell ref="B39:C39"/>
    <mergeCell ref="B40:C40"/>
    <mergeCell ref="B41:C41"/>
    <mergeCell ref="B2:H2"/>
    <mergeCell ref="B3:H3"/>
    <mergeCell ref="B5:C5"/>
    <mergeCell ref="B6:C6"/>
    <mergeCell ref="B17:C17"/>
  </mergeCells>
  <pageMargins left="0.7" right="0.7" top="0.75" bottom="0.75" header="0.3" footer="0.3"/>
  <pageSetup scale="82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2E4B6-1295-4225-AD21-3C8EA887437D}">
  <sheetPr>
    <pageSetUpPr fitToPage="1"/>
  </sheetPr>
  <dimension ref="A1:S54"/>
  <sheetViews>
    <sheetView topLeftCell="A2" zoomScale="80" zoomScaleNormal="80" workbookViewId="0">
      <selection activeCell="D32" sqref="D32"/>
    </sheetView>
  </sheetViews>
  <sheetFormatPr defaultColWidth="9.140625" defaultRowHeight="15" x14ac:dyDescent="0.25"/>
  <cols>
    <col min="1" max="1" width="3" customWidth="1"/>
    <col min="2" max="2" width="5.7109375" customWidth="1"/>
    <col min="3" max="3" width="33.85546875" bestFit="1" customWidth="1"/>
    <col min="4" max="4" width="13.85546875" customWidth="1"/>
    <col min="5" max="5" width="12.5703125" customWidth="1"/>
    <col min="6" max="6" width="15.28515625" customWidth="1"/>
    <col min="7" max="8" width="12.5703125" customWidth="1"/>
    <col min="9" max="9" width="15.7109375" customWidth="1"/>
    <col min="10" max="10" width="14.7109375" customWidth="1"/>
    <col min="11" max="11" width="14.5703125" customWidth="1"/>
    <col min="12" max="12" width="11.28515625" customWidth="1"/>
    <col min="17" max="17" width="13" customWidth="1"/>
  </cols>
  <sheetData>
    <row r="1" spans="1:19" hidden="1" x14ac:dyDescent="0.25"/>
    <row r="2" spans="1:19" ht="21" x14ac:dyDescent="0.35">
      <c r="B2" s="771" t="s">
        <v>0</v>
      </c>
      <c r="C2" s="771"/>
      <c r="D2" s="771"/>
      <c r="E2" s="771"/>
      <c r="F2" s="771"/>
      <c r="G2" s="771"/>
      <c r="H2" s="771"/>
      <c r="I2" s="230"/>
    </row>
    <row r="3" spans="1:19" ht="18.75" x14ac:dyDescent="0.3">
      <c r="B3" s="772" t="s">
        <v>75</v>
      </c>
      <c r="C3" s="772"/>
      <c r="D3" s="772"/>
      <c r="E3" s="772"/>
      <c r="F3" s="772"/>
      <c r="G3" s="772"/>
      <c r="H3" s="772"/>
      <c r="I3" s="231"/>
    </row>
    <row r="4" spans="1:19" ht="15.75" thickBot="1" x14ac:dyDescent="0.3">
      <c r="B4" s="1"/>
      <c r="C4" s="51" t="s">
        <v>37</v>
      </c>
      <c r="D4" s="1"/>
      <c r="E4" s="1"/>
      <c r="F4" s="1"/>
      <c r="G4" s="2"/>
      <c r="J4" s="88"/>
    </row>
    <row r="5" spans="1:19" x14ac:dyDescent="0.25">
      <c r="B5" s="773" t="s">
        <v>1</v>
      </c>
      <c r="C5" s="774"/>
      <c r="D5" s="24" t="s">
        <v>2</v>
      </c>
      <c r="E5" s="24" t="s">
        <v>3</v>
      </c>
      <c r="F5" s="24" t="s">
        <v>58</v>
      </c>
      <c r="G5" s="24" t="s">
        <v>5</v>
      </c>
      <c r="H5" s="24" t="s">
        <v>6</v>
      </c>
      <c r="I5" s="50"/>
      <c r="J5" s="50"/>
    </row>
    <row r="6" spans="1:19" x14ac:dyDescent="0.25">
      <c r="B6" s="775" t="s">
        <v>7</v>
      </c>
      <c r="C6" s="776"/>
      <c r="D6" s="25">
        <f>SUM(D7:D16)</f>
        <v>85837.080000000031</v>
      </c>
      <c r="E6" s="62">
        <f>SUM(E7:E16)</f>
        <v>14906.359999999999</v>
      </c>
      <c r="F6" s="62">
        <f>SUM(F7:F16)</f>
        <v>27131.99</v>
      </c>
      <c r="G6" s="62">
        <f>SUM(G7:G16)</f>
        <v>73611.450000000026</v>
      </c>
      <c r="H6" s="63">
        <f>SUM(H7:H15)</f>
        <v>0</v>
      </c>
      <c r="I6" s="73"/>
      <c r="J6" s="73"/>
      <c r="K6" s="73"/>
      <c r="L6" s="23"/>
      <c r="Q6" s="23"/>
      <c r="S6" s="23"/>
    </row>
    <row r="7" spans="1:19" ht="15.75" customHeight="1" x14ac:dyDescent="0.25">
      <c r="B7" s="11"/>
      <c r="C7" s="22" t="s">
        <v>23</v>
      </c>
      <c r="D7" s="163">
        <f>'November 2020'!G7</f>
        <v>108049.99000000002</v>
      </c>
      <c r="E7" s="139">
        <v>97.62</v>
      </c>
      <c r="F7" s="139">
        <f>1000+3357.62+565.38+6192.83+1406.12+5960.25</f>
        <v>18482.2</v>
      </c>
      <c r="G7" s="164">
        <f>D7+E7-F7</f>
        <v>89665.410000000018</v>
      </c>
      <c r="H7" s="165"/>
      <c r="I7" s="125"/>
      <c r="J7" s="23"/>
    </row>
    <row r="8" spans="1:19" x14ac:dyDescent="0.25">
      <c r="B8" s="12"/>
      <c r="C8" s="52" t="s">
        <v>62</v>
      </c>
      <c r="D8" s="163">
        <f>'November 2020'!G8</f>
        <v>-4736.68</v>
      </c>
      <c r="E8" s="166"/>
      <c r="F8" s="154">
        <v>2452.7600000000002</v>
      </c>
      <c r="G8" s="108">
        <f t="shared" ref="G8:G16" si="0">D8+E8-F8</f>
        <v>-7189.4400000000005</v>
      </c>
      <c r="H8" s="165"/>
      <c r="I8" s="73"/>
      <c r="J8" s="149"/>
    </row>
    <row r="9" spans="1:19" hidden="1" x14ac:dyDescent="0.25">
      <c r="B9" s="12"/>
      <c r="C9" s="53" t="s">
        <v>67</v>
      </c>
      <c r="D9" s="163">
        <f>'November 2020'!G9</f>
        <v>0</v>
      </c>
      <c r="E9" s="166"/>
      <c r="F9" s="166"/>
      <c r="G9" s="164">
        <f t="shared" si="0"/>
        <v>0</v>
      </c>
      <c r="H9" s="165"/>
      <c r="I9" s="73"/>
      <c r="J9" s="71"/>
      <c r="K9" s="23"/>
    </row>
    <row r="10" spans="1:19" x14ac:dyDescent="0.25">
      <c r="B10" s="12"/>
      <c r="C10" s="53" t="s">
        <v>41</v>
      </c>
      <c r="D10" s="163">
        <f>'November 2020'!G10</f>
        <v>-14418.020000000002</v>
      </c>
      <c r="E10" s="243">
        <v>10405</v>
      </c>
      <c r="F10" s="152">
        <v>5969</v>
      </c>
      <c r="G10" s="108">
        <f t="shared" si="0"/>
        <v>-9982.0200000000023</v>
      </c>
      <c r="H10" s="165"/>
      <c r="I10" s="73"/>
      <c r="J10" s="236"/>
      <c r="K10" s="23"/>
    </row>
    <row r="11" spans="1:19" hidden="1" x14ac:dyDescent="0.25">
      <c r="B11" s="12"/>
      <c r="C11" s="53" t="s">
        <v>29</v>
      </c>
      <c r="D11" s="163">
        <f>'November 2020'!G11</f>
        <v>0</v>
      </c>
      <c r="E11" s="70"/>
      <c r="F11" s="70"/>
      <c r="G11" s="164">
        <f t="shared" si="0"/>
        <v>0</v>
      </c>
      <c r="H11" s="165"/>
      <c r="I11" s="73"/>
      <c r="J11" s="93"/>
    </row>
    <row r="12" spans="1:19" x14ac:dyDescent="0.25">
      <c r="B12" s="12"/>
      <c r="C12" s="53" t="s">
        <v>20</v>
      </c>
      <c r="D12" s="163">
        <f>'November 2020'!G12</f>
        <v>-96.290000000000191</v>
      </c>
      <c r="E12" s="152">
        <f>52.73+837.24</f>
        <v>889.97</v>
      </c>
      <c r="F12" s="167">
        <f>23.48+87.15</f>
        <v>110.63000000000001</v>
      </c>
      <c r="G12" s="181">
        <f t="shared" si="0"/>
        <v>683.04999999999984</v>
      </c>
      <c r="H12" s="165"/>
      <c r="I12" s="73"/>
      <c r="J12" s="23"/>
    </row>
    <row r="13" spans="1:19" x14ac:dyDescent="0.25">
      <c r="B13" s="12"/>
      <c r="C13" s="53" t="s">
        <v>22</v>
      </c>
      <c r="D13" s="163">
        <f>'November 2020'!G13</f>
        <v>-0.61000000000008647</v>
      </c>
      <c r="E13" s="152">
        <v>50.96</v>
      </c>
      <c r="F13" s="167"/>
      <c r="G13" s="181">
        <f t="shared" si="0"/>
        <v>50.349999999999916</v>
      </c>
      <c r="H13" s="165"/>
      <c r="I13" s="73"/>
      <c r="J13" s="23"/>
    </row>
    <row r="14" spans="1:19" x14ac:dyDescent="0.25">
      <c r="B14" s="12"/>
      <c r="C14" s="53" t="s">
        <v>28</v>
      </c>
      <c r="D14" s="163">
        <f>'November 2020'!G14</f>
        <v>-3380.4700000000007</v>
      </c>
      <c r="E14" s="167">
        <v>3462.81</v>
      </c>
      <c r="F14" s="152"/>
      <c r="G14" s="108">
        <f t="shared" si="0"/>
        <v>82.339999999999236</v>
      </c>
      <c r="H14" s="165"/>
      <c r="I14" s="73"/>
      <c r="J14" s="23"/>
    </row>
    <row r="15" spans="1:19" x14ac:dyDescent="0.25">
      <c r="A15" t="s">
        <v>26</v>
      </c>
      <c r="B15" s="12"/>
      <c r="C15" s="18" t="s">
        <v>42</v>
      </c>
      <c r="D15" s="163">
        <f>'November 2020'!G15</f>
        <v>667.78000000000009</v>
      </c>
      <c r="E15" s="166"/>
      <c r="F15" s="166">
        <v>117.4</v>
      </c>
      <c r="G15" s="153">
        <f t="shared" si="0"/>
        <v>550.38000000000011</v>
      </c>
      <c r="H15" s="165"/>
      <c r="I15" s="73"/>
      <c r="J15" s="23"/>
    </row>
    <row r="16" spans="1:19" x14ac:dyDescent="0.25">
      <c r="B16" s="12"/>
      <c r="C16" s="18" t="s">
        <v>43</v>
      </c>
      <c r="D16" s="163">
        <f>'November 2020'!G16</f>
        <v>-248.62000000000023</v>
      </c>
      <c r="E16" s="166"/>
      <c r="F16" s="166"/>
      <c r="G16" s="181">
        <f t="shared" si="0"/>
        <v>-248.62000000000023</v>
      </c>
      <c r="H16" s="165"/>
      <c r="I16" s="73"/>
      <c r="J16" s="73"/>
      <c r="Q16" s="23"/>
    </row>
    <row r="17" spans="2:17" x14ac:dyDescent="0.25">
      <c r="B17" s="777" t="s">
        <v>53</v>
      </c>
      <c r="C17" s="778"/>
      <c r="D17" s="141">
        <f>SUM(D18:D22)</f>
        <v>-4200.9000000000005</v>
      </c>
      <c r="E17" s="107">
        <f>SUM(E18:E22)</f>
        <v>8500</v>
      </c>
      <c r="F17" s="107">
        <f>SUM(F18:F22)</f>
        <v>6132.1299999999992</v>
      </c>
      <c r="G17" s="108">
        <f>SUM(G18:G22)</f>
        <v>-1833.0300000000007</v>
      </c>
      <c r="H17" s="169"/>
      <c r="I17" s="73"/>
      <c r="J17" s="73"/>
      <c r="Q17" s="23"/>
    </row>
    <row r="18" spans="2:17" x14ac:dyDescent="0.25">
      <c r="B18" s="13"/>
      <c r="C18" s="40" t="s">
        <v>9</v>
      </c>
      <c r="D18" s="140">
        <f>'November 2020'!G18</f>
        <v>7592.3600000000006</v>
      </c>
      <c r="E18" s="217"/>
      <c r="F18" s="134">
        <v>3280.85</v>
      </c>
      <c r="G18" s="137">
        <f>D18+E18-F18</f>
        <v>4311.51</v>
      </c>
      <c r="H18" s="166"/>
      <c r="I18" s="73"/>
      <c r="J18" s="23"/>
      <c r="K18" s="4"/>
    </row>
    <row r="19" spans="2:17" x14ac:dyDescent="0.25">
      <c r="B19" s="12"/>
      <c r="C19" s="55" t="s">
        <v>8</v>
      </c>
      <c r="D19" s="140">
        <f>'November 2020'!G19</f>
        <v>-3626.3300000000004</v>
      </c>
      <c r="E19" s="167"/>
      <c r="F19" s="152">
        <v>1514.97</v>
      </c>
      <c r="G19" s="137">
        <f>D19+E19-F19</f>
        <v>-5141.3</v>
      </c>
      <c r="H19" s="170"/>
      <c r="I19" s="73"/>
      <c r="J19" s="23"/>
    </row>
    <row r="20" spans="2:17" x14ac:dyDescent="0.25">
      <c r="B20" s="12"/>
      <c r="C20" s="55" t="s">
        <v>32</v>
      </c>
      <c r="D20" s="140">
        <f>'November 2020'!G20</f>
        <v>1603.3999999999994</v>
      </c>
      <c r="E20" s="167"/>
      <c r="F20" s="152">
        <v>566.48</v>
      </c>
      <c r="G20" s="137">
        <f t="shared" ref="G20:G22" si="1">D20+E20-F20</f>
        <v>1036.9199999999994</v>
      </c>
      <c r="H20" s="171"/>
      <c r="I20" s="73"/>
      <c r="J20" s="23"/>
    </row>
    <row r="21" spans="2:17" x14ac:dyDescent="0.25">
      <c r="B21" s="12"/>
      <c r="C21" s="55" t="s">
        <v>67</v>
      </c>
      <c r="D21" s="140">
        <f>'November 2020'!G21</f>
        <v>9.9999999999909051E-3</v>
      </c>
      <c r="E21" s="167"/>
      <c r="F21" s="167"/>
      <c r="G21" s="137">
        <f t="shared" si="1"/>
        <v>9.9999999999909051E-3</v>
      </c>
      <c r="H21" s="171"/>
      <c r="I21" s="73"/>
      <c r="J21" s="23"/>
    </row>
    <row r="22" spans="2:17" x14ac:dyDescent="0.25">
      <c r="B22" s="10"/>
      <c r="C22" s="41" t="s">
        <v>38</v>
      </c>
      <c r="D22" s="140">
        <f>'November 2020'!G22</f>
        <v>-9770.34</v>
      </c>
      <c r="E22" s="151">
        <v>8500</v>
      </c>
      <c r="F22" s="134">
        <v>769.83</v>
      </c>
      <c r="G22" s="137">
        <f t="shared" si="1"/>
        <v>-2040.17</v>
      </c>
      <c r="H22" s="166">
        <v>8500</v>
      </c>
      <c r="I22" s="73"/>
      <c r="J22" s="23"/>
      <c r="K22" s="4"/>
    </row>
    <row r="23" spans="2:17" x14ac:dyDescent="0.25">
      <c r="B23" s="775" t="s">
        <v>10</v>
      </c>
      <c r="C23" s="776"/>
      <c r="D23" s="141">
        <f>SUM(D24:D29)</f>
        <v>237587.35</v>
      </c>
      <c r="E23" s="172">
        <f>SUM(E24:E29)</f>
        <v>0</v>
      </c>
      <c r="F23" s="111">
        <f>SUM(F24:F29)</f>
        <v>20377.57</v>
      </c>
      <c r="G23" s="111">
        <f>SUM(G24:G29)</f>
        <v>217209.78000000003</v>
      </c>
      <c r="H23" s="173">
        <f>SUM(H29:H33)</f>
        <v>0</v>
      </c>
      <c r="I23" s="73"/>
      <c r="J23" s="73"/>
      <c r="Q23" s="23"/>
    </row>
    <row r="24" spans="2:17" x14ac:dyDescent="0.25">
      <c r="B24" s="13"/>
      <c r="C24" s="37" t="s">
        <v>55</v>
      </c>
      <c r="D24" s="140">
        <f>'November 2020'!G24</f>
        <v>2383.8900000000008</v>
      </c>
      <c r="E24" s="150"/>
      <c r="F24" s="217">
        <v>2383.89</v>
      </c>
      <c r="G24" s="121">
        <f>D24+E24-F24</f>
        <v>0</v>
      </c>
      <c r="H24" s="139"/>
      <c r="I24" s="73"/>
      <c r="J24" s="23"/>
      <c r="K24" s="5"/>
    </row>
    <row r="25" spans="2:17" x14ac:dyDescent="0.25">
      <c r="B25" s="10"/>
      <c r="C25" s="18" t="s">
        <v>70</v>
      </c>
      <c r="D25" s="140">
        <f>'November 2020'!G25</f>
        <v>18710</v>
      </c>
      <c r="E25" s="151"/>
      <c r="F25" s="151"/>
      <c r="G25" s="121">
        <f>D25+E25-F25</f>
        <v>18710</v>
      </c>
      <c r="H25" s="166"/>
      <c r="I25" s="73"/>
      <c r="J25" s="23"/>
      <c r="K25" s="5"/>
    </row>
    <row r="26" spans="2:17" hidden="1" x14ac:dyDescent="0.25">
      <c r="B26" s="11"/>
      <c r="C26" s="19" t="s">
        <v>34</v>
      </c>
      <c r="D26" s="140">
        <f>'November 2020'!G26</f>
        <v>5.4569682106375694E-12</v>
      </c>
      <c r="E26" s="134"/>
      <c r="F26" s="182"/>
      <c r="G26" s="121">
        <f t="shared" ref="G26:G29" si="2">D26+E26-F26</f>
        <v>5.4569682106375694E-12</v>
      </c>
      <c r="H26" s="166"/>
      <c r="I26" s="74"/>
      <c r="J26" s="23"/>
      <c r="K26" s="23"/>
    </row>
    <row r="27" spans="2:17" x14ac:dyDescent="0.25">
      <c r="B27" s="11"/>
      <c r="C27" s="19" t="s">
        <v>39</v>
      </c>
      <c r="D27" s="140">
        <f>'November 2020'!G27</f>
        <v>82064.89</v>
      </c>
      <c r="E27" s="151"/>
      <c r="F27" s="134">
        <v>17993.68</v>
      </c>
      <c r="G27" s="121">
        <f t="shared" si="2"/>
        <v>64071.21</v>
      </c>
      <c r="H27" s="166"/>
      <c r="I27" s="74"/>
      <c r="J27" s="23"/>
      <c r="K27" s="23"/>
    </row>
    <row r="28" spans="2:17" x14ac:dyDescent="0.25">
      <c r="B28" s="11"/>
      <c r="C28" s="19" t="s">
        <v>65</v>
      </c>
      <c r="D28" s="140">
        <f>'November 2020'!G28</f>
        <v>134492</v>
      </c>
      <c r="E28" s="151"/>
      <c r="F28" s="151"/>
      <c r="G28" s="121">
        <f t="shared" si="2"/>
        <v>134492</v>
      </c>
      <c r="H28" s="166"/>
      <c r="I28" s="74"/>
      <c r="J28" s="23"/>
      <c r="K28" s="23"/>
    </row>
    <row r="29" spans="2:17" x14ac:dyDescent="0.25">
      <c r="B29" s="10"/>
      <c r="C29" s="18" t="s">
        <v>44</v>
      </c>
      <c r="D29" s="140">
        <f>'November 2020'!G29</f>
        <v>-63.429999999999986</v>
      </c>
      <c r="E29" s="151"/>
      <c r="F29" s="134"/>
      <c r="G29" s="121">
        <f t="shared" si="2"/>
        <v>-63.429999999999986</v>
      </c>
      <c r="H29" s="166"/>
      <c r="I29" s="73"/>
      <c r="J29" s="23"/>
      <c r="K29" s="5"/>
    </row>
    <row r="30" spans="2:17" x14ac:dyDescent="0.25">
      <c r="B30" s="775" t="s">
        <v>35</v>
      </c>
      <c r="C30" s="776"/>
      <c r="D30" s="141">
        <f>SUM(D31:D34)</f>
        <v>53889.45</v>
      </c>
      <c r="E30" s="172">
        <f>SUM(E31:E34)</f>
        <v>0</v>
      </c>
      <c r="F30" s="111">
        <f>SUM(F31:F34)</f>
        <v>3884.3600000000006</v>
      </c>
      <c r="G30" s="111">
        <f>SUM(G31:G34)</f>
        <v>50005.09</v>
      </c>
      <c r="H30" s="173">
        <f t="shared" ref="H30" si="3">SUM(H31:H33)</f>
        <v>0</v>
      </c>
      <c r="I30" s="73"/>
      <c r="J30" s="73"/>
      <c r="Q30" s="23"/>
    </row>
    <row r="31" spans="2:17" x14ac:dyDescent="0.25">
      <c r="B31" s="10"/>
      <c r="C31" s="18" t="s">
        <v>69</v>
      </c>
      <c r="D31" s="140">
        <f>'November 2020'!G31</f>
        <v>34214.86</v>
      </c>
      <c r="E31" s="174"/>
      <c r="F31" s="183">
        <f>577.78+1921.4</f>
        <v>2499.1800000000003</v>
      </c>
      <c r="G31" s="119">
        <f t="shared" ref="G31:G34" si="4">D31+E31-F31</f>
        <v>31715.68</v>
      </c>
      <c r="H31" s="166"/>
      <c r="I31" s="73"/>
      <c r="J31" s="23"/>
      <c r="K31" s="5"/>
    </row>
    <row r="32" spans="2:17" x14ac:dyDescent="0.25">
      <c r="B32" s="10"/>
      <c r="C32" s="20" t="s">
        <v>64</v>
      </c>
      <c r="D32" s="140">
        <f>'November 2020'!G32</f>
        <v>19674.589999999997</v>
      </c>
      <c r="E32" s="174"/>
      <c r="F32" s="134">
        <v>1385.18</v>
      </c>
      <c r="G32" s="119">
        <f t="shared" si="4"/>
        <v>18289.409999999996</v>
      </c>
      <c r="H32" s="166"/>
      <c r="I32" s="73"/>
      <c r="J32" s="93"/>
      <c r="K32" s="3"/>
      <c r="Q32" s="148"/>
    </row>
    <row r="33" spans="2:17" ht="17.25" customHeight="1" x14ac:dyDescent="0.25">
      <c r="B33" s="10"/>
      <c r="C33" s="21" t="s">
        <v>33</v>
      </c>
      <c r="D33" s="140">
        <f>'November 2020'!G33</f>
        <v>0</v>
      </c>
      <c r="E33" s="174"/>
      <c r="F33" s="151"/>
      <c r="G33" s="151">
        <f t="shared" si="4"/>
        <v>0</v>
      </c>
      <c r="H33" s="166"/>
      <c r="I33" s="73"/>
      <c r="J33" s="23"/>
      <c r="K33" s="4"/>
      <c r="Q33" s="149"/>
    </row>
    <row r="34" spans="2:17" ht="17.25" customHeight="1" thickBot="1" x14ac:dyDescent="0.3">
      <c r="C34" s="104" t="s">
        <v>47</v>
      </c>
      <c r="D34" s="140">
        <f>'November 2020'!G34</f>
        <v>0</v>
      </c>
      <c r="E34" s="174"/>
      <c r="F34" s="151"/>
      <c r="G34" s="151">
        <f t="shared" si="4"/>
        <v>0</v>
      </c>
      <c r="H34" s="166"/>
      <c r="I34" s="73"/>
      <c r="J34" s="23"/>
      <c r="K34" s="4"/>
      <c r="Q34" s="149"/>
    </row>
    <row r="35" spans="2:17" ht="15.75" thickBot="1" x14ac:dyDescent="0.3">
      <c r="B35" s="779" t="s">
        <v>11</v>
      </c>
      <c r="C35" s="766"/>
      <c r="D35" s="38">
        <f>D6+D17+D23+D30</f>
        <v>373112.98000000004</v>
      </c>
      <c r="E35" s="203">
        <f>SUM(E23,E17,E6,E30)</f>
        <v>23406.36</v>
      </c>
      <c r="F35" s="203">
        <f>SUM(F23,F17,F6,F30)</f>
        <v>57526.05</v>
      </c>
      <c r="G35" s="44">
        <f>SUM(G23,G17,G6,G30)</f>
        <v>338993.29000000004</v>
      </c>
      <c r="H35" s="78">
        <f>SUM(H6,H16,H23,H30)</f>
        <v>0</v>
      </c>
      <c r="I35" s="23"/>
      <c r="J35" s="23"/>
      <c r="K35" s="6"/>
    </row>
    <row r="36" spans="2:17" hidden="1" x14ac:dyDescent="0.25">
      <c r="B36" s="232"/>
      <c r="C36" s="233"/>
      <c r="D36" s="23">
        <f>SUM(D17:D22)</f>
        <v>-8401.8000000000011</v>
      </c>
      <c r="E36" s="23"/>
      <c r="F36" s="23"/>
      <c r="G36" s="23"/>
      <c r="H36" s="49"/>
      <c r="I36" s="23"/>
      <c r="L36" t="s">
        <v>12</v>
      </c>
      <c r="M36">
        <v>42.43</v>
      </c>
    </row>
    <row r="37" spans="2:17" ht="15.75" hidden="1" thickBot="1" x14ac:dyDescent="0.3">
      <c r="B37" s="9" t="s">
        <v>25</v>
      </c>
      <c r="C37" s="15"/>
      <c r="D37" s="33" t="e">
        <f>SUM(D35,#REF!)</f>
        <v>#REF!</v>
      </c>
      <c r="E37" s="34" t="e">
        <f>SUM(E35,#REF!)</f>
        <v>#REF!</v>
      </c>
      <c r="F37" s="34" t="e">
        <f>SUM(F35,#REF!)</f>
        <v>#REF!</v>
      </c>
      <c r="G37" s="35" t="e">
        <f>SUM(G35,#REF!)</f>
        <v>#REF!</v>
      </c>
      <c r="H37" s="49"/>
      <c r="I37" s="23"/>
      <c r="J37" s="6"/>
      <c r="K37" s="4">
        <v>206730.35</v>
      </c>
    </row>
    <row r="38" spans="2:17" ht="15.75" thickBot="1" x14ac:dyDescent="0.3">
      <c r="C38" s="7"/>
      <c r="D38" s="23"/>
      <c r="E38" s="23"/>
      <c r="F38" s="23"/>
      <c r="G38" s="23"/>
      <c r="H38" s="49"/>
      <c r="I38" s="64"/>
      <c r="J38" s="6"/>
      <c r="K38" s="4"/>
      <c r="Q38" s="23"/>
    </row>
    <row r="39" spans="2:17" ht="15.75" thickBot="1" x14ac:dyDescent="0.3">
      <c r="B39" s="780" t="s">
        <v>13</v>
      </c>
      <c r="C39" s="781"/>
      <c r="D39" s="31" t="s">
        <v>2</v>
      </c>
      <c r="E39" s="31" t="s">
        <v>3</v>
      </c>
      <c r="F39" s="31" t="s">
        <v>24</v>
      </c>
      <c r="G39" s="31" t="s">
        <v>27</v>
      </c>
      <c r="H39" s="31" t="s">
        <v>5</v>
      </c>
      <c r="I39" s="50"/>
      <c r="J39" s="6"/>
      <c r="K39" s="8"/>
    </row>
    <row r="40" spans="2:17" ht="15.75" thickBot="1" x14ac:dyDescent="0.3">
      <c r="B40" s="769" t="s">
        <v>14</v>
      </c>
      <c r="C40" s="770"/>
      <c r="D40" s="161">
        <f>'November 2020'!H40</f>
        <v>156.04000000000002</v>
      </c>
      <c r="E40" s="162"/>
      <c r="F40" s="162"/>
      <c r="G40" s="162">
        <v>16.88</v>
      </c>
      <c r="H40" s="114">
        <f t="shared" ref="H40:H42" si="5">D40+E40+F40-G40</f>
        <v>139.16000000000003</v>
      </c>
      <c r="I40" s="23"/>
      <c r="K40" s="6"/>
      <c r="L40" s="4"/>
    </row>
    <row r="41" spans="2:17" ht="15.75" thickBot="1" x14ac:dyDescent="0.3">
      <c r="B41" s="782" t="s">
        <v>15</v>
      </c>
      <c r="C41" s="783"/>
      <c r="D41" s="161">
        <f>'November 2020'!H41</f>
        <v>12930.580000000002</v>
      </c>
      <c r="E41" s="115">
        <v>33000</v>
      </c>
      <c r="F41" s="115"/>
      <c r="G41" s="115">
        <v>19707.93</v>
      </c>
      <c r="H41" s="155">
        <f>D41+E41+F41-G41</f>
        <v>26222.65</v>
      </c>
      <c r="I41" s="23"/>
      <c r="J41" s="65"/>
      <c r="K41" s="6"/>
    </row>
    <row r="42" spans="2:17" ht="15.75" thickBot="1" x14ac:dyDescent="0.3">
      <c r="B42" s="14"/>
      <c r="C42" s="16" t="s">
        <v>21</v>
      </c>
      <c r="D42" s="161">
        <f>'November 2020'!H42</f>
        <v>0</v>
      </c>
      <c r="E42" s="56"/>
      <c r="F42" s="56"/>
      <c r="G42" s="56"/>
      <c r="H42" s="156">
        <f t="shared" si="5"/>
        <v>0</v>
      </c>
      <c r="I42" s="23"/>
      <c r="J42" s="65"/>
      <c r="K42" s="4"/>
    </row>
    <row r="43" spans="2:17" ht="15.75" thickBot="1" x14ac:dyDescent="0.3">
      <c r="B43" s="14"/>
      <c r="C43" s="16" t="s">
        <v>40</v>
      </c>
      <c r="D43" s="161">
        <f>'November 2020'!H43</f>
        <v>-2126.5200000000009</v>
      </c>
      <c r="E43" s="160">
        <v>1899.15</v>
      </c>
      <c r="F43" s="56"/>
      <c r="G43" s="160">
        <f>9298.79+274.11</f>
        <v>9572.9000000000015</v>
      </c>
      <c r="H43" s="157">
        <f>D43+E43+F43-G43</f>
        <v>-9800.2700000000023</v>
      </c>
      <c r="I43" s="23"/>
      <c r="J43" s="4"/>
      <c r="K43" s="4"/>
    </row>
    <row r="44" spans="2:17" ht="15.75" thickBot="1" x14ac:dyDescent="0.3">
      <c r="B44" s="769" t="s">
        <v>16</v>
      </c>
      <c r="C44" s="770"/>
      <c r="D44" s="161">
        <f>'November 2020'!H44</f>
        <v>197985.64000000007</v>
      </c>
      <c r="E44" s="61">
        <v>981.08</v>
      </c>
      <c r="F44" s="61"/>
      <c r="G44" s="61">
        <v>33000</v>
      </c>
      <c r="H44" s="158">
        <f>D44+E44-F44-G44</f>
        <v>165966.72000000006</v>
      </c>
      <c r="I44" s="23"/>
      <c r="J44" s="4"/>
      <c r="K44" s="4"/>
    </row>
    <row r="45" spans="2:17" ht="15.75" thickBot="1" x14ac:dyDescent="0.3">
      <c r="B45" s="80" t="s">
        <v>46</v>
      </c>
      <c r="C45" s="81"/>
      <c r="D45" s="161">
        <f>'November 2020'!H45</f>
        <v>175294.36</v>
      </c>
      <c r="E45" s="28">
        <v>47.96</v>
      </c>
      <c r="F45" s="28"/>
      <c r="G45" s="28">
        <v>1000</v>
      </c>
      <c r="H45" s="159">
        <f>D45+E45+F45-G45</f>
        <v>174342.31999999998</v>
      </c>
      <c r="I45" s="23"/>
      <c r="J45" s="4"/>
      <c r="K45" s="4"/>
    </row>
    <row r="46" spans="2:17" ht="15.75" thickBot="1" x14ac:dyDescent="0.3">
      <c r="B46" s="765"/>
      <c r="C46" s="766"/>
      <c r="D46" s="29">
        <f>SUM(D40+D41+D44+D45+D43+D42)</f>
        <v>384240.10000000003</v>
      </c>
      <c r="E46" s="204">
        <f>SUM(E40:E45)</f>
        <v>35928.19</v>
      </c>
      <c r="F46" s="30">
        <f>SUM(F40:F45)</f>
        <v>0</v>
      </c>
      <c r="G46" s="204">
        <f>SUM(G40:G45)</f>
        <v>63297.710000000006</v>
      </c>
      <c r="H46" s="45">
        <f>SUM(H40+H41+H44+H42+H45+H43)</f>
        <v>356870.58</v>
      </c>
      <c r="I46" s="23"/>
      <c r="J46" s="6"/>
      <c r="K46" s="4"/>
      <c r="L46" s="3"/>
    </row>
    <row r="47" spans="2:17" x14ac:dyDescent="0.25">
      <c r="B47" s="232"/>
      <c r="C47" s="233"/>
      <c r="D47" s="23">
        <f>D35-D46</f>
        <v>-11127.119999999995</v>
      </c>
      <c r="E47" s="23"/>
      <c r="F47" s="23"/>
      <c r="G47" s="23"/>
      <c r="H47" s="23">
        <f>G35-H46</f>
        <v>-17877.289999999979</v>
      </c>
      <c r="I47" s="23"/>
      <c r="J47" s="6"/>
      <c r="K47" s="6"/>
      <c r="L47" s="3"/>
    </row>
    <row r="48" spans="2:17" x14ac:dyDescent="0.25">
      <c r="C48" s="7"/>
      <c r="D48" s="23"/>
      <c r="E48" s="23"/>
      <c r="F48" s="23"/>
      <c r="G48" s="23"/>
      <c r="H48" s="23"/>
      <c r="I48" s="23"/>
      <c r="J48" s="6"/>
    </row>
    <row r="49" spans="2:17" ht="15.75" x14ac:dyDescent="0.25">
      <c r="B49" s="767" t="s">
        <v>17</v>
      </c>
      <c r="C49" s="767"/>
      <c r="D49" s="767"/>
      <c r="E49" s="767"/>
      <c r="F49" s="768" t="s">
        <v>18</v>
      </c>
      <c r="G49" s="768"/>
      <c r="H49" s="23"/>
      <c r="I49" s="23"/>
      <c r="K49" s="6"/>
    </row>
    <row r="50" spans="2:17" ht="15.75" x14ac:dyDescent="0.25">
      <c r="B50" s="234"/>
      <c r="C50" s="234"/>
      <c r="D50" s="235"/>
      <c r="E50" s="235"/>
      <c r="F50" s="235"/>
      <c r="G50" s="235"/>
      <c r="H50" s="23"/>
      <c r="I50" s="23"/>
    </row>
    <row r="51" spans="2:17" ht="15.75" x14ac:dyDescent="0.25">
      <c r="B51" s="767" t="s">
        <v>19</v>
      </c>
      <c r="C51" s="767"/>
      <c r="D51" s="767"/>
      <c r="E51" s="767"/>
      <c r="F51" s="768" t="s">
        <v>18</v>
      </c>
      <c r="G51" s="768"/>
      <c r="H51" s="23"/>
      <c r="I51" s="23"/>
    </row>
    <row r="52" spans="2:17" x14ac:dyDescent="0.25">
      <c r="B52" s="232"/>
      <c r="C52" s="233"/>
      <c r="D52" s="3"/>
      <c r="E52" s="3"/>
      <c r="F52" s="3"/>
      <c r="G52" s="4"/>
      <c r="H52" s="3"/>
      <c r="I52" s="3"/>
      <c r="J52" s="6"/>
      <c r="K52" s="4"/>
      <c r="Q52" s="17"/>
    </row>
    <row r="53" spans="2:17" x14ac:dyDescent="0.25">
      <c r="C53" s="7"/>
      <c r="D53" s="6"/>
      <c r="E53" s="6"/>
      <c r="F53" s="6"/>
      <c r="G53" s="6"/>
      <c r="J53" s="6"/>
      <c r="K53" s="8"/>
      <c r="M53" s="3"/>
      <c r="Q53" s="17"/>
    </row>
    <row r="54" spans="2:17" x14ac:dyDescent="0.25">
      <c r="C54" s="7"/>
      <c r="D54" s="4"/>
      <c r="E54" s="6"/>
      <c r="G54" s="6"/>
      <c r="K54" s="6"/>
    </row>
  </sheetData>
  <mergeCells count="17">
    <mergeCell ref="B46:C46"/>
    <mergeCell ref="B49:E49"/>
    <mergeCell ref="F49:G49"/>
    <mergeCell ref="B51:E51"/>
    <mergeCell ref="F51:G51"/>
    <mergeCell ref="B44:C44"/>
    <mergeCell ref="B2:H2"/>
    <mergeCell ref="B3:H3"/>
    <mergeCell ref="B5:C5"/>
    <mergeCell ref="B6:C6"/>
    <mergeCell ref="B17:C17"/>
    <mergeCell ref="B23:C23"/>
    <mergeCell ref="B30:C30"/>
    <mergeCell ref="B35:C35"/>
    <mergeCell ref="B39:C39"/>
    <mergeCell ref="B40:C40"/>
    <mergeCell ref="B41:C41"/>
  </mergeCells>
  <pageMargins left="0.7" right="0.7" top="0.75" bottom="0.75" header="0.3" footer="0.3"/>
  <pageSetup scale="82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49C5D-8656-4140-98B0-21DA73315268}">
  <sheetPr>
    <pageSetUpPr fitToPage="1"/>
  </sheetPr>
  <dimension ref="A1:S52"/>
  <sheetViews>
    <sheetView topLeftCell="A6" zoomScaleNormal="100" workbookViewId="0">
      <selection activeCell="K25" sqref="K25"/>
    </sheetView>
  </sheetViews>
  <sheetFormatPr defaultColWidth="9.140625" defaultRowHeight="15" x14ac:dyDescent="0.25"/>
  <cols>
    <col min="1" max="1" width="3" customWidth="1"/>
    <col min="2" max="2" width="5.7109375" customWidth="1"/>
    <col min="3" max="3" width="33.85546875" bestFit="1" customWidth="1"/>
    <col min="4" max="4" width="13.85546875" customWidth="1"/>
    <col min="5" max="5" width="12.5703125" customWidth="1"/>
    <col min="6" max="6" width="15.28515625" customWidth="1"/>
    <col min="7" max="8" width="12.5703125" customWidth="1"/>
    <col min="9" max="9" width="35.85546875" bestFit="1" customWidth="1"/>
    <col min="10" max="10" width="14.7109375" customWidth="1"/>
    <col min="11" max="11" width="14.5703125" customWidth="1"/>
    <col min="12" max="12" width="11.28515625" customWidth="1"/>
    <col min="17" max="17" width="13" customWidth="1"/>
  </cols>
  <sheetData>
    <row r="1" spans="1:19" hidden="1" x14ac:dyDescent="0.25"/>
    <row r="2" spans="1:19" ht="21" x14ac:dyDescent="0.35">
      <c r="B2" s="771" t="s">
        <v>0</v>
      </c>
      <c r="C2" s="771"/>
      <c r="D2" s="771"/>
      <c r="E2" s="771"/>
      <c r="F2" s="771"/>
      <c r="G2" s="771"/>
      <c r="H2" s="771"/>
      <c r="I2" s="240"/>
    </row>
    <row r="3" spans="1:19" ht="18.75" x14ac:dyDescent="0.3">
      <c r="B3" s="772" t="s">
        <v>76</v>
      </c>
      <c r="C3" s="772"/>
      <c r="D3" s="772"/>
      <c r="E3" s="772"/>
      <c r="F3" s="772"/>
      <c r="G3" s="772"/>
      <c r="H3" s="772"/>
      <c r="I3" s="241"/>
    </row>
    <row r="4" spans="1:19" ht="15.75" thickBot="1" x14ac:dyDescent="0.3">
      <c r="B4" s="1"/>
      <c r="C4" s="51" t="s">
        <v>37</v>
      </c>
      <c r="D4" s="1"/>
      <c r="E4" s="1"/>
      <c r="F4" s="1"/>
      <c r="G4" s="2"/>
      <c r="J4" s="88"/>
    </row>
    <row r="5" spans="1:19" x14ac:dyDescent="0.25">
      <c r="B5" s="773" t="s">
        <v>1</v>
      </c>
      <c r="C5" s="774"/>
      <c r="D5" s="24" t="s">
        <v>2</v>
      </c>
      <c r="E5" s="24" t="s">
        <v>3</v>
      </c>
      <c r="F5" s="24" t="s">
        <v>58</v>
      </c>
      <c r="G5" s="24" t="s">
        <v>5</v>
      </c>
      <c r="H5" s="24" t="s">
        <v>6</v>
      </c>
      <c r="I5" s="50"/>
      <c r="J5" s="50"/>
    </row>
    <row r="6" spans="1:19" x14ac:dyDescent="0.25">
      <c r="B6" s="775" t="s">
        <v>7</v>
      </c>
      <c r="C6" s="776"/>
      <c r="D6" s="25">
        <f>SUM(D7:D16)</f>
        <v>73611.450000000026</v>
      </c>
      <c r="E6" s="62">
        <f>SUM(E7:E16)</f>
        <v>31032.03</v>
      </c>
      <c r="F6" s="62">
        <f>SUM(F7:F16)</f>
        <v>22873.820000000003</v>
      </c>
      <c r="G6" s="62">
        <f>SUM(G7:G16)</f>
        <v>81769.660000000018</v>
      </c>
      <c r="H6" s="63">
        <f>SUM(H7:H15)</f>
        <v>0</v>
      </c>
      <c r="I6" s="73"/>
      <c r="J6" s="73"/>
      <c r="K6" s="73"/>
      <c r="L6" s="23"/>
      <c r="Q6" s="23"/>
      <c r="S6" s="23"/>
    </row>
    <row r="7" spans="1:19" ht="15.75" customHeight="1" x14ac:dyDescent="0.25">
      <c r="B7" s="11"/>
      <c r="C7" s="22" t="s">
        <v>23</v>
      </c>
      <c r="D7" s="163">
        <f>'December 2020'!G7</f>
        <v>89665.410000000018</v>
      </c>
      <c r="E7" s="139">
        <f>1840.12+77.51+5000+11.82+2470.5+1870.05+4311.52+1036.92+82.36+1934.42+2716.16+1500</f>
        <v>22851.38</v>
      </c>
      <c r="F7" s="139">
        <f>1000+2355.5+2034.94+2595+261.45+2040.14+60+3138.58+6433+63.43+9.64-5515.44</f>
        <v>14476.240000000002</v>
      </c>
      <c r="G7" s="164">
        <f>D7+E7-F7</f>
        <v>98040.550000000017</v>
      </c>
      <c r="H7" s="165"/>
      <c r="I7" s="125" t="s">
        <v>82</v>
      </c>
      <c r="J7" s="23"/>
    </row>
    <row r="8" spans="1:19" x14ac:dyDescent="0.25">
      <c r="B8" s="12"/>
      <c r="C8" s="52" t="s">
        <v>62</v>
      </c>
      <c r="D8" s="163">
        <f>'December 2020'!G8</f>
        <v>-7189.4400000000005</v>
      </c>
      <c r="E8" s="166">
        <f>7179.8+9.64</f>
        <v>7189.4400000000005</v>
      </c>
      <c r="F8" s="154">
        <v>1460.47</v>
      </c>
      <c r="G8" s="108">
        <f t="shared" ref="G8:G16" si="0">D8+E8-F8</f>
        <v>-1460.47</v>
      </c>
      <c r="H8" s="165"/>
      <c r="I8" s="73"/>
      <c r="J8" s="149"/>
    </row>
    <row r="9" spans="1:19" hidden="1" x14ac:dyDescent="0.25">
      <c r="B9" s="12"/>
      <c r="C9" s="53" t="s">
        <v>67</v>
      </c>
      <c r="D9" s="163">
        <f>'December 2020'!G9</f>
        <v>0</v>
      </c>
      <c r="E9" s="166"/>
      <c r="F9" s="166"/>
      <c r="G9" s="164">
        <f t="shared" si="0"/>
        <v>0</v>
      </c>
      <c r="H9" s="165"/>
      <c r="I9" s="73"/>
      <c r="J9" s="71"/>
      <c r="K9" s="23"/>
    </row>
    <row r="10" spans="1:19" x14ac:dyDescent="0.25">
      <c r="B10" s="12"/>
      <c r="C10" s="53" t="s">
        <v>41</v>
      </c>
      <c r="D10" s="163">
        <f>'December 2020'!G10</f>
        <v>-9982.0200000000023</v>
      </c>
      <c r="E10" s="152"/>
      <c r="F10" s="152">
        <v>1870.05</v>
      </c>
      <c r="G10" s="108">
        <f t="shared" si="0"/>
        <v>-11852.070000000002</v>
      </c>
      <c r="H10" s="165"/>
      <c r="I10" s="73" t="s">
        <v>83</v>
      </c>
      <c r="J10" s="236"/>
      <c r="K10" s="23"/>
    </row>
    <row r="11" spans="1:19" hidden="1" x14ac:dyDescent="0.25">
      <c r="B11" s="12"/>
      <c r="C11" s="53" t="s">
        <v>29</v>
      </c>
      <c r="D11" s="163">
        <f>'December 2020'!G11</f>
        <v>0</v>
      </c>
      <c r="E11" s="70"/>
      <c r="F11" s="70"/>
      <c r="G11" s="164">
        <f t="shared" si="0"/>
        <v>0</v>
      </c>
      <c r="H11" s="165"/>
      <c r="I11" s="73"/>
      <c r="J11" s="93"/>
    </row>
    <row r="12" spans="1:19" x14ac:dyDescent="0.25">
      <c r="B12" s="12"/>
      <c r="C12" s="53" t="s">
        <v>20</v>
      </c>
      <c r="D12" s="163">
        <f>'December 2020'!G12</f>
        <v>683.04999999999984</v>
      </c>
      <c r="E12" s="152">
        <v>920.66</v>
      </c>
      <c r="F12" s="167">
        <f>14.53+1934.42+2716.16</f>
        <v>4665.1099999999997</v>
      </c>
      <c r="G12" s="181">
        <f t="shared" si="0"/>
        <v>-3061.3999999999996</v>
      </c>
      <c r="H12" s="165"/>
      <c r="I12" s="73"/>
      <c r="J12" s="23"/>
    </row>
    <row r="13" spans="1:19" x14ac:dyDescent="0.25">
      <c r="B13" s="12"/>
      <c r="C13" s="53" t="s">
        <v>22</v>
      </c>
      <c r="D13" s="163">
        <f>'December 2020'!G13</f>
        <v>50.349999999999916</v>
      </c>
      <c r="E13" s="152">
        <v>70.55</v>
      </c>
      <c r="F13" s="167">
        <v>56</v>
      </c>
      <c r="G13" s="181">
        <f t="shared" si="0"/>
        <v>64.89999999999992</v>
      </c>
      <c r="H13" s="165"/>
      <c r="I13" s="73"/>
      <c r="J13" s="23"/>
    </row>
    <row r="14" spans="1:19" x14ac:dyDescent="0.25">
      <c r="B14" s="12"/>
      <c r="C14" s="53" t="s">
        <v>28</v>
      </c>
      <c r="D14" s="163">
        <f>'December 2020'!G14</f>
        <v>82.339999999999236</v>
      </c>
      <c r="E14" s="167"/>
      <c r="F14" s="152">
        <f>251.85+82.36</f>
        <v>334.21</v>
      </c>
      <c r="G14" s="108">
        <f t="shared" si="0"/>
        <v>-251.87000000000074</v>
      </c>
      <c r="H14" s="165"/>
      <c r="I14" s="73"/>
      <c r="J14" s="23"/>
    </row>
    <row r="15" spans="1:19" x14ac:dyDescent="0.25">
      <c r="A15" t="s">
        <v>26</v>
      </c>
      <c r="B15" s="12"/>
      <c r="C15" s="18" t="s">
        <v>42</v>
      </c>
      <c r="D15" s="163">
        <f>'December 2020'!G15</f>
        <v>550.38000000000011</v>
      </c>
      <c r="E15" s="166"/>
      <c r="F15" s="166"/>
      <c r="G15" s="153">
        <f t="shared" si="0"/>
        <v>550.38000000000011</v>
      </c>
      <c r="H15" s="165"/>
      <c r="I15" s="73"/>
      <c r="J15" s="23"/>
    </row>
    <row r="16" spans="1:19" x14ac:dyDescent="0.25">
      <c r="B16" s="12"/>
      <c r="C16" s="18" t="s">
        <v>43</v>
      </c>
      <c r="D16" s="163">
        <f>'December 2020'!G16</f>
        <v>-248.62000000000023</v>
      </c>
      <c r="E16" s="166"/>
      <c r="F16" s="166">
        <v>11.74</v>
      </c>
      <c r="G16" s="181">
        <f t="shared" si="0"/>
        <v>-260.36000000000024</v>
      </c>
      <c r="H16" s="165"/>
      <c r="I16" s="73"/>
      <c r="J16" s="73"/>
      <c r="Q16" s="23"/>
    </row>
    <row r="17" spans="2:17" x14ac:dyDescent="0.25">
      <c r="B17" s="777" t="s">
        <v>53</v>
      </c>
      <c r="C17" s="778"/>
      <c r="D17" s="141">
        <f>SUM(D18:D22)</f>
        <v>-1833.0100000000007</v>
      </c>
      <c r="E17" s="107">
        <f>SUM(E18:E22)</f>
        <v>4075.08</v>
      </c>
      <c r="F17" s="107">
        <f>SUM(F18:F22)</f>
        <v>12368.320000000002</v>
      </c>
      <c r="G17" s="108">
        <f>SUM(G18:G22)</f>
        <v>-10126.25</v>
      </c>
      <c r="H17" s="169"/>
      <c r="I17" s="73"/>
      <c r="J17" s="73"/>
      <c r="Q17" s="23"/>
    </row>
    <row r="18" spans="2:17" x14ac:dyDescent="0.25">
      <c r="B18" s="13"/>
      <c r="C18" s="40" t="s">
        <v>9</v>
      </c>
      <c r="D18" s="140">
        <f>'December 2020'!G18</f>
        <v>4311.51</v>
      </c>
      <c r="E18" s="217"/>
      <c r="F18" s="134">
        <f>5234.86+4311.52</f>
        <v>9546.380000000001</v>
      </c>
      <c r="G18" s="137">
        <f>D18+E18-F18</f>
        <v>-5234.8700000000008</v>
      </c>
      <c r="H18" s="166"/>
      <c r="I18" s="73" t="s">
        <v>81</v>
      </c>
      <c r="J18" s="23"/>
      <c r="K18" s="4"/>
    </row>
    <row r="19" spans="2:17" x14ac:dyDescent="0.25">
      <c r="B19" s="12"/>
      <c r="C19" s="55" t="s">
        <v>8</v>
      </c>
      <c r="D19" s="140">
        <f>'December 2020'!G19</f>
        <v>-5141.3</v>
      </c>
      <c r="E19" s="167">
        <v>2034.94</v>
      </c>
      <c r="F19" s="152">
        <v>1392.84</v>
      </c>
      <c r="G19" s="137">
        <f>D19+E19-F19</f>
        <v>-4499.2</v>
      </c>
      <c r="H19" s="170"/>
      <c r="I19" s="73" t="s">
        <v>81</v>
      </c>
      <c r="J19" s="23"/>
    </row>
    <row r="20" spans="2:17" x14ac:dyDescent="0.25">
      <c r="B20" s="12"/>
      <c r="C20" s="55" t="s">
        <v>32</v>
      </c>
      <c r="D20" s="140">
        <f>'December 2020'!G20</f>
        <v>1036.9199999999994</v>
      </c>
      <c r="E20" s="167"/>
      <c r="F20" s="152">
        <f>392.18+1036.92</f>
        <v>1429.1000000000001</v>
      </c>
      <c r="G20" s="137">
        <f t="shared" ref="G20:G22" si="1">D20+E20-F20</f>
        <v>-392.18000000000075</v>
      </c>
      <c r="H20" s="171"/>
      <c r="I20" s="73"/>
      <c r="J20" s="23"/>
    </row>
    <row r="21" spans="2:17" hidden="1" x14ac:dyDescent="0.25">
      <c r="B21" s="12"/>
      <c r="C21" s="55" t="s">
        <v>67</v>
      </c>
      <c r="D21" s="140">
        <f>'December 2020'!G21-0.01</f>
        <v>-9.0951551845463996E-15</v>
      </c>
      <c r="E21" s="167"/>
      <c r="F21" s="167"/>
      <c r="G21" s="137">
        <f t="shared" si="1"/>
        <v>-9.0951551845463996E-15</v>
      </c>
      <c r="H21" s="171"/>
      <c r="I21" s="73"/>
      <c r="J21" s="23"/>
    </row>
    <row r="22" spans="2:17" x14ac:dyDescent="0.25">
      <c r="B22" s="10"/>
      <c r="C22" s="41" t="s">
        <v>38</v>
      </c>
      <c r="D22" s="140">
        <f>'December 2020'!G22+0.03</f>
        <v>-2040.14</v>
      </c>
      <c r="E22" s="151">
        <v>2040.14</v>
      </c>
      <c r="F22" s="134"/>
      <c r="G22" s="137">
        <f t="shared" si="1"/>
        <v>0</v>
      </c>
      <c r="H22" s="166"/>
      <c r="I22" s="73" t="s">
        <v>85</v>
      </c>
      <c r="J22" s="23"/>
      <c r="K22" s="4"/>
    </row>
    <row r="23" spans="2:17" x14ac:dyDescent="0.25">
      <c r="B23" s="775" t="s">
        <v>10</v>
      </c>
      <c r="C23" s="776"/>
      <c r="D23" s="141">
        <f>SUM(D24:D29)</f>
        <v>218081.18000000002</v>
      </c>
      <c r="E23" s="172">
        <f>SUM(E24:E29)</f>
        <v>324.88</v>
      </c>
      <c r="F23" s="111">
        <f>SUM(F24:F29)</f>
        <v>13378.68</v>
      </c>
      <c r="G23" s="111">
        <f>SUM(G24:G29)</f>
        <v>205027.38</v>
      </c>
      <c r="H23" s="173">
        <f>SUM(H29:H32)</f>
        <v>0</v>
      </c>
      <c r="I23" s="73"/>
      <c r="J23" s="73"/>
      <c r="Q23" s="23"/>
    </row>
    <row r="24" spans="2:17" x14ac:dyDescent="0.25">
      <c r="B24" s="13"/>
      <c r="C24" s="37" t="s">
        <v>55</v>
      </c>
      <c r="D24" s="140">
        <f>'December 2020'!G24</f>
        <v>0</v>
      </c>
      <c r="E24" s="150">
        <v>261.45</v>
      </c>
      <c r="F24" s="217">
        <v>261.45</v>
      </c>
      <c r="G24" s="121">
        <f>D24+E24-F24</f>
        <v>0</v>
      </c>
      <c r="H24" s="139"/>
      <c r="I24" s="73" t="s">
        <v>79</v>
      </c>
      <c r="J24" s="23"/>
      <c r="K24" s="5"/>
    </row>
    <row r="25" spans="2:17" x14ac:dyDescent="0.25">
      <c r="B25" s="10"/>
      <c r="C25" s="18" t="s">
        <v>70</v>
      </c>
      <c r="D25" s="140">
        <f>'December 2020'!G25</f>
        <v>18710</v>
      </c>
      <c r="E25" s="151"/>
      <c r="F25" s="151"/>
      <c r="G25" s="121">
        <f>D25+E25-F25</f>
        <v>18710</v>
      </c>
      <c r="H25" s="166"/>
      <c r="I25" s="73"/>
      <c r="J25" s="23"/>
      <c r="K25" s="5"/>
    </row>
    <row r="26" spans="2:17" hidden="1" x14ac:dyDescent="0.25">
      <c r="B26" s="11"/>
      <c r="C26" s="19" t="s">
        <v>34</v>
      </c>
      <c r="D26" s="140">
        <f>'December 2020'!G26</f>
        <v>5.4569682106375694E-12</v>
      </c>
      <c r="E26" s="134"/>
      <c r="F26" s="182"/>
      <c r="G26" s="121">
        <f t="shared" ref="G26:G29" si="2">D26+E26-F26</f>
        <v>5.4569682106375694E-12</v>
      </c>
      <c r="H26" s="166"/>
      <c r="I26" s="74"/>
      <c r="J26" s="23"/>
      <c r="K26" s="23"/>
    </row>
    <row r="27" spans="2:17" x14ac:dyDescent="0.25">
      <c r="B27" s="11"/>
      <c r="C27" s="19" t="s">
        <v>39</v>
      </c>
      <c r="D27" s="140">
        <v>64942.61</v>
      </c>
      <c r="E27" s="151"/>
      <c r="F27" s="134">
        <f>1840.12+11277.11</f>
        <v>13117.23</v>
      </c>
      <c r="G27" s="121">
        <f t="shared" si="2"/>
        <v>51825.380000000005</v>
      </c>
      <c r="H27" s="166"/>
      <c r="I27" s="74"/>
      <c r="J27" s="23"/>
      <c r="K27" s="23"/>
    </row>
    <row r="28" spans="2:17" x14ac:dyDescent="0.25">
      <c r="B28" s="11"/>
      <c r="C28" s="19" t="s">
        <v>65</v>
      </c>
      <c r="D28" s="140">
        <f>'December 2020'!G28</f>
        <v>134492</v>
      </c>
      <c r="E28" s="151"/>
      <c r="F28" s="151"/>
      <c r="G28" s="121">
        <f t="shared" si="2"/>
        <v>134492</v>
      </c>
      <c r="H28" s="166"/>
      <c r="I28" s="74"/>
      <c r="J28" s="23"/>
      <c r="K28" s="23"/>
    </row>
    <row r="29" spans="2:17" x14ac:dyDescent="0.25">
      <c r="B29" s="10"/>
      <c r="C29" s="18" t="s">
        <v>44</v>
      </c>
      <c r="D29" s="140">
        <f>'December 2020'!G29</f>
        <v>-63.429999999999986</v>
      </c>
      <c r="E29" s="151">
        <v>63.43</v>
      </c>
      <c r="F29" s="134"/>
      <c r="G29" s="121">
        <f t="shared" si="2"/>
        <v>1.4210854715202004E-14</v>
      </c>
      <c r="H29" s="166"/>
      <c r="I29" s="73" t="s">
        <v>80</v>
      </c>
      <c r="J29" s="23"/>
      <c r="K29" s="5"/>
    </row>
    <row r="30" spans="2:17" x14ac:dyDescent="0.25">
      <c r="B30" s="775" t="s">
        <v>35</v>
      </c>
      <c r="C30" s="776"/>
      <c r="D30" s="141">
        <f>SUM(D31:D32)</f>
        <v>50005.09</v>
      </c>
      <c r="E30" s="172">
        <f>SUM(E31:E32)</f>
        <v>2595</v>
      </c>
      <c r="F30" s="111">
        <f>SUM(F31:F32)</f>
        <v>16316.900000000001</v>
      </c>
      <c r="G30" s="111">
        <f>SUM(G31:G32)</f>
        <v>36283.189999999995</v>
      </c>
      <c r="H30" s="173">
        <f>SUM(H31:H32)</f>
        <v>0</v>
      </c>
      <c r="I30" s="73"/>
      <c r="J30" s="73"/>
      <c r="Q30" s="23"/>
    </row>
    <row r="31" spans="2:17" x14ac:dyDescent="0.25">
      <c r="B31" s="10"/>
      <c r="C31" s="18" t="s">
        <v>78</v>
      </c>
      <c r="D31" s="140">
        <f>'December 2020'!G31</f>
        <v>31715.68</v>
      </c>
      <c r="E31" s="174">
        <v>2595</v>
      </c>
      <c r="F31" s="183">
        <f>7685.6+4940.1+2470.5</f>
        <v>15096.2</v>
      </c>
      <c r="G31" s="119">
        <f>D31+E31-F31</f>
        <v>19214.48</v>
      </c>
      <c r="H31" s="166"/>
      <c r="I31" s="73"/>
      <c r="J31" s="23"/>
      <c r="K31" s="5"/>
    </row>
    <row r="32" spans="2:17" ht="15.75" thickBot="1" x14ac:dyDescent="0.3">
      <c r="B32" s="10"/>
      <c r="C32" s="20" t="s">
        <v>77</v>
      </c>
      <c r="D32" s="140">
        <f>'December 2020'!G32</f>
        <v>18289.409999999996</v>
      </c>
      <c r="E32" s="174"/>
      <c r="F32" s="134">
        <f>1208.88+11.82</f>
        <v>1220.7</v>
      </c>
      <c r="G32" s="119">
        <f t="shared" ref="G32" si="3">D32+E32-F32</f>
        <v>17068.709999999995</v>
      </c>
      <c r="H32" s="166"/>
      <c r="I32" s="73" t="s">
        <v>84</v>
      </c>
      <c r="J32" s="93"/>
      <c r="K32" s="3"/>
      <c r="Q32" s="148"/>
    </row>
    <row r="33" spans="2:17" ht="15.75" thickBot="1" x14ac:dyDescent="0.3">
      <c r="B33" s="779" t="s">
        <v>11</v>
      </c>
      <c r="C33" s="766"/>
      <c r="D33" s="38">
        <f>D6+D17+D23+D30</f>
        <v>339864.71000000008</v>
      </c>
      <c r="E33" s="203">
        <f>SUM(E23,E17,E6,E30)</f>
        <v>38026.99</v>
      </c>
      <c r="F33" s="203">
        <f>SUM(F23,F17,F6,F30)</f>
        <v>64937.720000000008</v>
      </c>
      <c r="G33" s="44">
        <f>SUM(G23,G17,G6,G30)</f>
        <v>312953.98000000004</v>
      </c>
      <c r="H33" s="78">
        <f>SUM(H6,H16,H23,H30)</f>
        <v>0</v>
      </c>
      <c r="I33" s="23"/>
      <c r="J33" s="23"/>
      <c r="K33" s="6"/>
    </row>
    <row r="34" spans="2:17" hidden="1" x14ac:dyDescent="0.25">
      <c r="B34" s="242"/>
      <c r="C34" s="237"/>
      <c r="D34" s="23">
        <f>SUM(D17:D22)</f>
        <v>-3666.0200000000013</v>
      </c>
      <c r="E34" s="23"/>
      <c r="F34" s="23"/>
      <c r="G34" s="23"/>
      <c r="H34" s="49"/>
      <c r="I34" s="23"/>
      <c r="L34" t="s">
        <v>12</v>
      </c>
      <c r="M34">
        <v>42.43</v>
      </c>
    </row>
    <row r="35" spans="2:17" ht="15.75" hidden="1" thickBot="1" x14ac:dyDescent="0.3">
      <c r="B35" s="9" t="s">
        <v>25</v>
      </c>
      <c r="C35" s="15"/>
      <c r="D35" s="33" t="e">
        <f>SUM(D33,#REF!)</f>
        <v>#REF!</v>
      </c>
      <c r="E35" s="34" t="e">
        <f>SUM(E33,#REF!)</f>
        <v>#REF!</v>
      </c>
      <c r="F35" s="34" t="e">
        <f>SUM(F33,#REF!)</f>
        <v>#REF!</v>
      </c>
      <c r="G35" s="35" t="e">
        <f>SUM(G33,#REF!)</f>
        <v>#REF!</v>
      </c>
      <c r="H35" s="49"/>
      <c r="I35" s="23"/>
      <c r="J35" s="6"/>
      <c r="K35" s="4">
        <v>206730.35</v>
      </c>
    </row>
    <row r="36" spans="2:17" ht="15.75" thickBot="1" x14ac:dyDescent="0.3">
      <c r="C36" s="7"/>
      <c r="D36" s="23"/>
      <c r="E36" s="23"/>
      <c r="F36" s="23"/>
      <c r="G36" s="23"/>
      <c r="H36" s="49"/>
      <c r="I36" s="64"/>
      <c r="J36" s="6"/>
      <c r="K36" s="4"/>
      <c r="Q36" s="23"/>
    </row>
    <row r="37" spans="2:17" ht="15.75" thickBot="1" x14ac:dyDescent="0.3">
      <c r="B37" s="780" t="s">
        <v>13</v>
      </c>
      <c r="C37" s="781"/>
      <c r="D37" s="31" t="s">
        <v>2</v>
      </c>
      <c r="E37" s="31" t="s">
        <v>3</v>
      </c>
      <c r="F37" s="31" t="s">
        <v>24</v>
      </c>
      <c r="G37" s="31" t="s">
        <v>27</v>
      </c>
      <c r="H37" s="31" t="s">
        <v>5</v>
      </c>
      <c r="I37" s="50"/>
      <c r="J37" s="6"/>
      <c r="K37" s="8">
        <f>356870.58-217209.78-50005.09+1833.01</f>
        <v>91488.720000000016</v>
      </c>
    </row>
    <row r="38" spans="2:17" ht="15.75" thickBot="1" x14ac:dyDescent="0.3">
      <c r="B38" s="769" t="s">
        <v>14</v>
      </c>
      <c r="C38" s="770"/>
      <c r="D38" s="161">
        <f>'December 2020'!H40</f>
        <v>139.16000000000003</v>
      </c>
      <c r="E38" s="162"/>
      <c r="F38" s="162"/>
      <c r="G38" s="162">
        <v>5.4</v>
      </c>
      <c r="H38" s="114">
        <f t="shared" ref="H38:H40" si="4">D38+E38+F38-G38</f>
        <v>133.76000000000002</v>
      </c>
      <c r="I38" s="23"/>
      <c r="K38" s="6"/>
      <c r="L38" s="4"/>
    </row>
    <row r="39" spans="2:17" ht="15.75" thickBot="1" x14ac:dyDescent="0.3">
      <c r="B39" s="782" t="s">
        <v>15</v>
      </c>
      <c r="C39" s="783"/>
      <c r="D39" s="161">
        <f>'December 2020'!H41</f>
        <v>26222.65</v>
      </c>
      <c r="E39" s="115">
        <v>25000</v>
      </c>
      <c r="F39" s="115"/>
      <c r="G39" s="115">
        <v>42799.03</v>
      </c>
      <c r="H39" s="155">
        <f>D39+E39+F39-G39</f>
        <v>8423.6200000000026</v>
      </c>
      <c r="I39" s="23"/>
      <c r="J39" s="65"/>
      <c r="K39" s="6"/>
    </row>
    <row r="40" spans="2:17" ht="15.75" thickBot="1" x14ac:dyDescent="0.3">
      <c r="B40" s="14"/>
      <c r="C40" s="16" t="s">
        <v>21</v>
      </c>
      <c r="D40" s="161">
        <f>'December 2020'!H42</f>
        <v>0</v>
      </c>
      <c r="E40" s="56"/>
      <c r="F40" s="56"/>
      <c r="G40" s="56"/>
      <c r="H40" s="156">
        <f t="shared" si="4"/>
        <v>0</v>
      </c>
      <c r="I40" s="23"/>
      <c r="J40" s="65"/>
      <c r="K40" s="4"/>
    </row>
    <row r="41" spans="2:17" ht="15.75" thickBot="1" x14ac:dyDescent="0.3">
      <c r="B41" s="14"/>
      <c r="C41" s="16" t="s">
        <v>40</v>
      </c>
      <c r="D41" s="161">
        <f>'December 2020'!H43</f>
        <v>-9800.2700000000023</v>
      </c>
      <c r="E41" s="160">
        <v>9298.7900000000009</v>
      </c>
      <c r="F41" s="56"/>
      <c r="G41" s="160">
        <v>6557.4</v>
      </c>
      <c r="H41" s="157">
        <f>D41+E41+F41-G41</f>
        <v>-7058.880000000001</v>
      </c>
      <c r="I41" s="23"/>
      <c r="J41" s="4"/>
      <c r="K41" s="4"/>
    </row>
    <row r="42" spans="2:17" ht="15.75" thickBot="1" x14ac:dyDescent="0.3">
      <c r="B42" s="769" t="s">
        <v>16</v>
      </c>
      <c r="C42" s="770"/>
      <c r="D42" s="161">
        <f>'December 2020'!H44</f>
        <v>165966.72000000006</v>
      </c>
      <c r="E42" s="61">
        <v>25431.1</v>
      </c>
      <c r="F42" s="61">
        <v>25000</v>
      </c>
      <c r="G42" s="61"/>
      <c r="H42" s="158">
        <f>D42+E42-F42-G42</f>
        <v>166397.82000000007</v>
      </c>
      <c r="I42" s="23"/>
      <c r="J42" s="4"/>
      <c r="K42" s="4"/>
    </row>
    <row r="43" spans="2:17" ht="15.75" thickBot="1" x14ac:dyDescent="0.3">
      <c r="B43" s="80" t="s">
        <v>46</v>
      </c>
      <c r="C43" s="81"/>
      <c r="D43" s="161">
        <f>'December 2020'!H45</f>
        <v>174342.31999999998</v>
      </c>
      <c r="E43" s="28">
        <v>41.24</v>
      </c>
      <c r="F43" s="28"/>
      <c r="G43" s="28">
        <v>1000</v>
      </c>
      <c r="H43" s="159">
        <f>D43+E43+F43-G43</f>
        <v>173383.55999999997</v>
      </c>
      <c r="I43" s="23"/>
      <c r="J43" s="4"/>
      <c r="K43" s="4"/>
    </row>
    <row r="44" spans="2:17" ht="15.75" thickBot="1" x14ac:dyDescent="0.3">
      <c r="B44" s="765"/>
      <c r="C44" s="766"/>
      <c r="D44" s="29">
        <f>SUM(D38+D39+D42+D43+D41+D40)</f>
        <v>356870.58</v>
      </c>
      <c r="E44" s="204">
        <f>SUM(E38:E43)</f>
        <v>59771.13</v>
      </c>
      <c r="F44" s="30">
        <f>SUM(F38:F43)</f>
        <v>25000</v>
      </c>
      <c r="G44" s="204">
        <f>SUM(G38:G43)</f>
        <v>50361.83</v>
      </c>
      <c r="H44" s="45">
        <f>SUM(H38+H39+H42+H40+H43+H41)</f>
        <v>341279.88</v>
      </c>
      <c r="I44" s="23"/>
      <c r="J44" s="6"/>
      <c r="K44" s="4"/>
      <c r="L44" s="3"/>
    </row>
    <row r="45" spans="2:17" x14ac:dyDescent="0.25">
      <c r="B45" s="242"/>
      <c r="C45" s="237"/>
      <c r="D45" s="23">
        <f>D33-D44</f>
        <v>-17005.869999999937</v>
      </c>
      <c r="E45" s="23"/>
      <c r="F45" s="23"/>
      <c r="G45" s="23"/>
      <c r="H45" s="23">
        <f>G33-H44</f>
        <v>-28325.899999999965</v>
      </c>
      <c r="I45" s="23"/>
      <c r="J45" s="6"/>
      <c r="K45" s="6"/>
      <c r="L45" s="3"/>
    </row>
    <row r="46" spans="2:17" x14ac:dyDescent="0.25">
      <c r="C46" s="7"/>
      <c r="D46" s="23"/>
      <c r="E46" s="23"/>
      <c r="F46" s="23"/>
      <c r="G46" s="23"/>
      <c r="H46" s="23"/>
      <c r="I46" s="23"/>
      <c r="J46" s="6"/>
    </row>
    <row r="47" spans="2:17" ht="15.75" x14ac:dyDescent="0.25">
      <c r="B47" s="767" t="s">
        <v>17</v>
      </c>
      <c r="C47" s="767"/>
      <c r="D47" s="767"/>
      <c r="E47" s="767"/>
      <c r="F47" s="768" t="s">
        <v>18</v>
      </c>
      <c r="G47" s="768"/>
      <c r="H47" s="23"/>
      <c r="I47" s="23"/>
      <c r="K47" s="6"/>
    </row>
    <row r="48" spans="2:17" ht="15.75" x14ac:dyDescent="0.25">
      <c r="B48" s="238"/>
      <c r="C48" s="238"/>
      <c r="D48" s="239"/>
      <c r="E48" s="239"/>
      <c r="F48" s="239"/>
      <c r="G48" s="239"/>
      <c r="H48" s="23"/>
      <c r="I48" s="23"/>
    </row>
    <row r="49" spans="2:17" ht="15.75" x14ac:dyDescent="0.25">
      <c r="B49" s="767" t="s">
        <v>19</v>
      </c>
      <c r="C49" s="767"/>
      <c r="D49" s="767"/>
      <c r="E49" s="767"/>
      <c r="F49" s="768" t="s">
        <v>18</v>
      </c>
      <c r="G49" s="768"/>
      <c r="H49" s="23"/>
      <c r="I49" s="23"/>
    </row>
    <row r="50" spans="2:17" x14ac:dyDescent="0.25">
      <c r="B50" s="242"/>
      <c r="C50" s="237"/>
      <c r="D50" s="3"/>
      <c r="E50" s="3"/>
      <c r="F50" s="3"/>
      <c r="G50" s="4"/>
      <c r="H50" s="3"/>
      <c r="I50" s="3"/>
      <c r="J50" s="6"/>
      <c r="K50" s="4"/>
      <c r="Q50" s="17"/>
    </row>
    <row r="51" spans="2:17" x14ac:dyDescent="0.25">
      <c r="C51" s="7"/>
      <c r="D51" s="6"/>
      <c r="E51" s="6"/>
      <c r="F51" s="6"/>
      <c r="G51" s="6"/>
      <c r="J51" s="6"/>
      <c r="K51" s="8"/>
      <c r="M51" s="3"/>
      <c r="Q51" s="17"/>
    </row>
    <row r="52" spans="2:17" x14ac:dyDescent="0.25">
      <c r="C52" s="7"/>
      <c r="D52" s="4"/>
      <c r="E52" s="6"/>
      <c r="G52" s="6"/>
      <c r="K52" s="6"/>
    </row>
  </sheetData>
  <mergeCells count="17">
    <mergeCell ref="B42:C42"/>
    <mergeCell ref="B2:H2"/>
    <mergeCell ref="B3:H3"/>
    <mergeCell ref="B5:C5"/>
    <mergeCell ref="B6:C6"/>
    <mergeCell ref="B17:C17"/>
    <mergeCell ref="B23:C23"/>
    <mergeCell ref="B30:C30"/>
    <mergeCell ref="B33:C33"/>
    <mergeCell ref="B37:C37"/>
    <mergeCell ref="B38:C38"/>
    <mergeCell ref="B39:C39"/>
    <mergeCell ref="B44:C44"/>
    <mergeCell ref="B47:E47"/>
    <mergeCell ref="F47:G47"/>
    <mergeCell ref="B49:E49"/>
    <mergeCell ref="F49:G49"/>
  </mergeCells>
  <pageMargins left="0.7" right="0.7" top="0.75" bottom="0.75" header="0.3" footer="0.3"/>
  <pageSetup scale="51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F1DA1-ACD4-44AD-845C-EFABE6CDAFEC}">
  <sheetPr>
    <pageSetUpPr fitToPage="1"/>
  </sheetPr>
  <dimension ref="A1:S53"/>
  <sheetViews>
    <sheetView topLeftCell="A2" zoomScale="90" zoomScaleNormal="90" workbookViewId="0">
      <selection activeCell="D33" sqref="D33"/>
    </sheetView>
  </sheetViews>
  <sheetFormatPr defaultColWidth="9.140625" defaultRowHeight="15" x14ac:dyDescent="0.25"/>
  <cols>
    <col min="1" max="1" width="3" customWidth="1"/>
    <col min="2" max="2" width="5.7109375" customWidth="1"/>
    <col min="3" max="3" width="33.85546875" bestFit="1" customWidth="1"/>
    <col min="4" max="4" width="13.85546875" customWidth="1"/>
    <col min="5" max="5" width="12.5703125" customWidth="1"/>
    <col min="6" max="6" width="15.28515625" customWidth="1"/>
    <col min="7" max="8" width="12.5703125" customWidth="1"/>
    <col min="9" max="9" width="35.85546875" bestFit="1" customWidth="1"/>
    <col min="10" max="10" width="14.7109375" customWidth="1"/>
    <col min="11" max="11" width="14.5703125" customWidth="1"/>
    <col min="12" max="12" width="11.28515625" customWidth="1"/>
    <col min="17" max="17" width="13" customWidth="1"/>
  </cols>
  <sheetData>
    <row r="1" spans="1:19" hidden="1" x14ac:dyDescent="0.25"/>
    <row r="2" spans="1:19" ht="21" x14ac:dyDescent="0.35">
      <c r="B2" s="771" t="s">
        <v>0</v>
      </c>
      <c r="C2" s="771"/>
      <c r="D2" s="771"/>
      <c r="E2" s="771"/>
      <c r="F2" s="771"/>
      <c r="G2" s="771"/>
      <c r="H2" s="771"/>
      <c r="I2" s="244"/>
    </row>
    <row r="3" spans="1:19" ht="18.75" x14ac:dyDescent="0.3">
      <c r="B3" s="772" t="s">
        <v>87</v>
      </c>
      <c r="C3" s="772"/>
      <c r="D3" s="772"/>
      <c r="E3" s="772"/>
      <c r="F3" s="772"/>
      <c r="G3" s="772"/>
      <c r="H3" s="772"/>
      <c r="I3" s="245"/>
    </row>
    <row r="4" spans="1:19" ht="15.75" thickBot="1" x14ac:dyDescent="0.3">
      <c r="B4" s="1"/>
      <c r="C4" s="51" t="s">
        <v>37</v>
      </c>
      <c r="D4" s="1"/>
      <c r="E4" s="1"/>
      <c r="F4" s="1"/>
      <c r="G4" s="2"/>
      <c r="J4" s="88"/>
    </row>
    <row r="5" spans="1:19" x14ac:dyDescent="0.25">
      <c r="B5" s="773" t="s">
        <v>1</v>
      </c>
      <c r="C5" s="774"/>
      <c r="D5" s="24" t="s">
        <v>2</v>
      </c>
      <c r="E5" s="24" t="s">
        <v>3</v>
      </c>
      <c r="F5" s="24" t="s">
        <v>58</v>
      </c>
      <c r="G5" s="24" t="s">
        <v>5</v>
      </c>
      <c r="H5" s="24" t="s">
        <v>6</v>
      </c>
      <c r="I5" s="50"/>
      <c r="J5" s="50"/>
    </row>
    <row r="6" spans="1:19" x14ac:dyDescent="0.25">
      <c r="B6" s="775" t="s">
        <v>7</v>
      </c>
      <c r="C6" s="776"/>
      <c r="D6" s="25">
        <f>SUM(D7:D16)</f>
        <v>110420.89000000001</v>
      </c>
      <c r="E6" s="62">
        <f>SUM(E7:E16)</f>
        <v>15133.75</v>
      </c>
      <c r="F6" s="62">
        <f>SUM(F7:F16)</f>
        <v>-10099.170000000002</v>
      </c>
      <c r="G6" s="62">
        <f>SUM(G7:G16)</f>
        <v>135653.81</v>
      </c>
      <c r="H6" s="63">
        <f>SUM(H7:H15)</f>
        <v>0</v>
      </c>
      <c r="I6" s="73"/>
      <c r="J6" s="73"/>
      <c r="K6" s="73"/>
      <c r="L6" s="23"/>
      <c r="Q6" s="23"/>
      <c r="S6" s="23"/>
    </row>
    <row r="7" spans="1:19" ht="15.75" customHeight="1" x14ac:dyDescent="0.25">
      <c r="B7" s="11"/>
      <c r="C7" s="22" t="s">
        <v>23</v>
      </c>
      <c r="D7" s="163">
        <f>'January 2021'!G7+28651.23</f>
        <v>126691.78000000001</v>
      </c>
      <c r="E7" s="139">
        <v>83.69</v>
      </c>
      <c r="F7" s="139">
        <f>1000+1535.78+55+193.15+125.46-16394.11</f>
        <v>-13484.720000000001</v>
      </c>
      <c r="G7" s="164">
        <f>D7+E7-F7</f>
        <v>140260.19</v>
      </c>
      <c r="H7" s="165"/>
      <c r="I7" s="125"/>
      <c r="J7" s="23"/>
    </row>
    <row r="8" spans="1:19" x14ac:dyDescent="0.25">
      <c r="B8" s="12"/>
      <c r="C8" s="52" t="s">
        <v>62</v>
      </c>
      <c r="D8" s="163">
        <f>'January 2021'!G8</f>
        <v>-1460.47</v>
      </c>
      <c r="E8" s="166"/>
      <c r="F8" s="154">
        <v>1561.84</v>
      </c>
      <c r="G8" s="108">
        <f t="shared" ref="G8:G16" si="0">D8+E8-F8</f>
        <v>-3022.31</v>
      </c>
      <c r="H8" s="165"/>
      <c r="I8" s="73"/>
      <c r="J8" s="149"/>
    </row>
    <row r="9" spans="1:19" hidden="1" x14ac:dyDescent="0.25">
      <c r="B9" s="12"/>
      <c r="C9" s="53" t="s">
        <v>67</v>
      </c>
      <c r="D9" s="163">
        <f>'January 2021'!G9</f>
        <v>0</v>
      </c>
      <c r="E9" s="166"/>
      <c r="F9" s="166"/>
      <c r="G9" s="164">
        <f t="shared" si="0"/>
        <v>0</v>
      </c>
      <c r="H9" s="165"/>
      <c r="I9" s="73"/>
      <c r="J9" s="71"/>
      <c r="K9" s="23"/>
    </row>
    <row r="10" spans="1:19" x14ac:dyDescent="0.25">
      <c r="B10" s="12"/>
      <c r="C10" s="53" t="s">
        <v>41</v>
      </c>
      <c r="D10" s="163">
        <f>'January 2021'!G10</f>
        <v>-11852.070000000002</v>
      </c>
      <c r="E10" s="152">
        <v>11852.06</v>
      </c>
      <c r="F10" s="152"/>
      <c r="G10" s="108">
        <f t="shared" si="0"/>
        <v>-1.0000000002037268E-2</v>
      </c>
      <c r="H10" s="165"/>
      <c r="I10" s="73"/>
      <c r="J10" s="236"/>
      <c r="K10" s="23"/>
    </row>
    <row r="11" spans="1:19" hidden="1" x14ac:dyDescent="0.25">
      <c r="B11" s="12"/>
      <c r="C11" s="53" t="s">
        <v>29</v>
      </c>
      <c r="D11" s="163">
        <f>'January 2021'!G11</f>
        <v>0</v>
      </c>
      <c r="E11" s="70"/>
      <c r="F11" s="70"/>
      <c r="G11" s="164">
        <f t="shared" si="0"/>
        <v>0</v>
      </c>
      <c r="H11" s="165"/>
      <c r="I11" s="73"/>
      <c r="J11" s="93"/>
    </row>
    <row r="12" spans="1:19" x14ac:dyDescent="0.25">
      <c r="B12" s="12"/>
      <c r="C12" s="53" t="s">
        <v>20</v>
      </c>
      <c r="D12" s="163">
        <f>'January 2021'!G12</f>
        <v>-3061.3999999999996</v>
      </c>
      <c r="E12" s="152">
        <f>2823.88+168.4</f>
        <v>2992.28</v>
      </c>
      <c r="F12" s="167">
        <v>617.14</v>
      </c>
      <c r="G12" s="181">
        <f>D12+E12-F12</f>
        <v>-686.25999999999942</v>
      </c>
      <c r="H12" s="165"/>
      <c r="I12" s="73"/>
      <c r="J12" s="23"/>
    </row>
    <row r="13" spans="1:19" x14ac:dyDescent="0.25">
      <c r="B13" s="12"/>
      <c r="C13" s="53" t="s">
        <v>22</v>
      </c>
      <c r="D13" s="163">
        <f>'January 2021'!G13</f>
        <v>64.89999999999992</v>
      </c>
      <c r="E13" s="152">
        <v>205.72</v>
      </c>
      <c r="F13" s="167"/>
      <c r="G13" s="181">
        <f>D13+E13-F13</f>
        <v>270.61999999999989</v>
      </c>
      <c r="H13" s="165"/>
      <c r="I13" s="73"/>
      <c r="J13" s="23"/>
    </row>
    <row r="14" spans="1:19" x14ac:dyDescent="0.25">
      <c r="B14" s="12"/>
      <c r="C14" s="53" t="s">
        <v>28</v>
      </c>
      <c r="D14" s="163">
        <f>'January 2021'!G14</f>
        <v>-251.87000000000074</v>
      </c>
      <c r="E14" s="167"/>
      <c r="F14" s="152">
        <v>1130.4000000000001</v>
      </c>
      <c r="G14" s="108">
        <f t="shared" si="0"/>
        <v>-1382.2700000000009</v>
      </c>
      <c r="H14" s="165"/>
      <c r="I14" s="73"/>
      <c r="J14" s="23"/>
    </row>
    <row r="15" spans="1:19" x14ac:dyDescent="0.25">
      <c r="A15" t="s">
        <v>26</v>
      </c>
      <c r="B15" s="12"/>
      <c r="C15" s="18" t="s">
        <v>42</v>
      </c>
      <c r="D15" s="163">
        <f>'January 2021'!G15</f>
        <v>550.38000000000011</v>
      </c>
      <c r="E15" s="166"/>
      <c r="F15" s="166"/>
      <c r="G15" s="153">
        <f t="shared" si="0"/>
        <v>550.38000000000011</v>
      </c>
      <c r="H15" s="165"/>
      <c r="I15" s="73"/>
      <c r="J15" s="23"/>
    </row>
    <row r="16" spans="1:19" x14ac:dyDescent="0.25">
      <c r="B16" s="12"/>
      <c r="C16" s="18" t="s">
        <v>43</v>
      </c>
      <c r="D16" s="163">
        <f>'January 2021'!G16</f>
        <v>-260.36000000000024</v>
      </c>
      <c r="E16" s="166"/>
      <c r="F16" s="166">
        <v>76.17</v>
      </c>
      <c r="G16" s="181">
        <f t="shared" si="0"/>
        <v>-336.53000000000026</v>
      </c>
      <c r="H16" s="165"/>
      <c r="I16" s="73"/>
      <c r="J16" s="73"/>
      <c r="Q16" s="23"/>
    </row>
    <row r="17" spans="2:17" x14ac:dyDescent="0.25">
      <c r="B17" s="777" t="s">
        <v>53</v>
      </c>
      <c r="C17" s="778"/>
      <c r="D17" s="141">
        <f>SUM(D18:D22)</f>
        <v>-10126.25</v>
      </c>
      <c r="E17" s="107">
        <f>SUM(E18:E22)</f>
        <v>3106.38</v>
      </c>
      <c r="F17" s="107">
        <f>SUM(F18:F22)</f>
        <v>6949.74</v>
      </c>
      <c r="G17" s="108">
        <f>SUM(G18:G22)</f>
        <v>-13969.61</v>
      </c>
      <c r="H17" s="169"/>
      <c r="I17" s="73"/>
      <c r="J17" s="73"/>
      <c r="Q17" s="23"/>
    </row>
    <row r="18" spans="2:17" x14ac:dyDescent="0.25">
      <c r="B18" s="13"/>
      <c r="C18" s="40" t="s">
        <v>9</v>
      </c>
      <c r="D18" s="140">
        <f>'January 2021'!G18</f>
        <v>-5234.8700000000008</v>
      </c>
      <c r="E18" s="217"/>
      <c r="F18" s="134">
        <v>5419.57</v>
      </c>
      <c r="G18" s="137">
        <f>D18+E18-F18</f>
        <v>-10654.44</v>
      </c>
      <c r="H18" s="166"/>
      <c r="I18" s="73"/>
      <c r="J18" s="23"/>
      <c r="K18" s="4"/>
    </row>
    <row r="19" spans="2:17" x14ac:dyDescent="0.25">
      <c r="B19" s="12"/>
      <c r="C19" s="55" t="s">
        <v>8</v>
      </c>
      <c r="D19" s="140">
        <f>'January 2021'!G19</f>
        <v>-4499.2</v>
      </c>
      <c r="E19" s="167">
        <v>3106.38</v>
      </c>
      <c r="F19" s="152">
        <v>119.45</v>
      </c>
      <c r="G19" s="137">
        <f>D19+E19-F19</f>
        <v>-1512.2699999999998</v>
      </c>
      <c r="H19" s="170"/>
      <c r="I19" s="73"/>
      <c r="J19" s="23"/>
    </row>
    <row r="20" spans="2:17" x14ac:dyDescent="0.25">
      <c r="B20" s="12"/>
      <c r="C20" s="55" t="s">
        <v>32</v>
      </c>
      <c r="D20" s="140">
        <f>'January 2021'!G20</f>
        <v>-392.18000000000075</v>
      </c>
      <c r="E20" s="167"/>
      <c r="F20" s="152">
        <v>176.34</v>
      </c>
      <c r="G20" s="137">
        <f t="shared" ref="G20:G22" si="1">D20+E20-F20</f>
        <v>-568.52000000000078</v>
      </c>
      <c r="H20" s="171"/>
      <c r="I20" s="73"/>
      <c r="J20" s="23"/>
    </row>
    <row r="21" spans="2:17" hidden="1" x14ac:dyDescent="0.25">
      <c r="B21" s="12"/>
      <c r="C21" s="55" t="s">
        <v>67</v>
      </c>
      <c r="D21" s="140">
        <f>'January 2021'!G21</f>
        <v>-9.0951551845463996E-15</v>
      </c>
      <c r="E21" s="167"/>
      <c r="F21" s="167"/>
      <c r="G21" s="137">
        <f t="shared" si="1"/>
        <v>-9.0951551845463996E-15</v>
      </c>
      <c r="H21" s="171"/>
      <c r="I21" s="73"/>
      <c r="J21" s="23"/>
    </row>
    <row r="22" spans="2:17" x14ac:dyDescent="0.25">
      <c r="B22" s="10"/>
      <c r="C22" s="41" t="s">
        <v>38</v>
      </c>
      <c r="D22" s="140">
        <f>'January 2021'!G22</f>
        <v>0</v>
      </c>
      <c r="E22" s="151"/>
      <c r="F22" s="134">
        <v>1234.3800000000001</v>
      </c>
      <c r="G22" s="137">
        <f t="shared" si="1"/>
        <v>-1234.3800000000001</v>
      </c>
      <c r="H22" s="166"/>
      <c r="I22" s="73"/>
      <c r="J22" s="23"/>
      <c r="K22" s="4"/>
    </row>
    <row r="23" spans="2:17" x14ac:dyDescent="0.25">
      <c r="B23" s="775" t="s">
        <v>10</v>
      </c>
      <c r="C23" s="776"/>
      <c r="D23" s="141">
        <f>SUM(D24:D30)</f>
        <v>205027.38</v>
      </c>
      <c r="E23" s="172">
        <f>SUM(E24:E30)</f>
        <v>134492</v>
      </c>
      <c r="F23" s="111">
        <f>SUM(F24:F30)</f>
        <v>11826.06</v>
      </c>
      <c r="G23" s="111">
        <f>SUM(G24:G30)</f>
        <v>327693.32</v>
      </c>
      <c r="H23" s="173">
        <f>SUM(H30:H33)</f>
        <v>0</v>
      </c>
      <c r="I23" s="73"/>
      <c r="J23" s="73"/>
      <c r="Q23" s="23"/>
    </row>
    <row r="24" spans="2:17" x14ac:dyDescent="0.25">
      <c r="B24" s="13"/>
      <c r="C24" s="37" t="s">
        <v>55</v>
      </c>
      <c r="D24" s="140">
        <f>'January 2021'!G24</f>
        <v>0</v>
      </c>
      <c r="E24" s="150"/>
      <c r="F24" s="217"/>
      <c r="G24" s="121">
        <f>D24+E24-F24</f>
        <v>0</v>
      </c>
      <c r="H24" s="139"/>
      <c r="I24" s="73"/>
      <c r="J24" s="23"/>
      <c r="K24" s="5"/>
    </row>
    <row r="25" spans="2:17" x14ac:dyDescent="0.25">
      <c r="B25" s="10"/>
      <c r="C25" s="18" t="s">
        <v>70</v>
      </c>
      <c r="D25" s="140">
        <f>'January 2021'!G25</f>
        <v>18710</v>
      </c>
      <c r="E25" s="151"/>
      <c r="F25" s="151"/>
      <c r="G25" s="121">
        <f>D25+E25-F25</f>
        <v>18710</v>
      </c>
      <c r="H25" s="166"/>
      <c r="I25" s="73"/>
      <c r="J25" s="23"/>
      <c r="K25" s="5"/>
    </row>
    <row r="26" spans="2:17" hidden="1" x14ac:dyDescent="0.25">
      <c r="B26" s="11"/>
      <c r="C26" s="19" t="s">
        <v>34</v>
      </c>
      <c r="D26" s="140">
        <f>'January 2021'!G26</f>
        <v>5.4569682106375694E-12</v>
      </c>
      <c r="E26" s="134"/>
      <c r="F26" s="182"/>
      <c r="G26" s="121">
        <f t="shared" ref="G26:G30" si="2">D26+E26-F26</f>
        <v>5.4569682106375694E-12</v>
      </c>
      <c r="H26" s="166"/>
      <c r="I26" s="74"/>
      <c r="J26" s="23"/>
      <c r="K26" s="23"/>
    </row>
    <row r="27" spans="2:17" x14ac:dyDescent="0.25">
      <c r="B27" s="11"/>
      <c r="C27" s="19" t="s">
        <v>39</v>
      </c>
      <c r="D27" s="140">
        <f>'January 2021'!G27</f>
        <v>51825.380000000005</v>
      </c>
      <c r="E27" s="151"/>
      <c r="F27" s="134">
        <v>11826.06</v>
      </c>
      <c r="G27" s="121">
        <f t="shared" si="2"/>
        <v>39999.320000000007</v>
      </c>
      <c r="H27" s="166"/>
      <c r="I27" s="74"/>
      <c r="J27" s="23"/>
      <c r="K27" s="23"/>
    </row>
    <row r="28" spans="2:17" x14ac:dyDescent="0.25">
      <c r="B28" s="11"/>
      <c r="C28" s="19" t="s">
        <v>65</v>
      </c>
      <c r="D28" s="140">
        <f>'January 2021'!G28</f>
        <v>134492</v>
      </c>
      <c r="E28" s="151"/>
      <c r="F28" s="151"/>
      <c r="G28" s="121">
        <f t="shared" si="2"/>
        <v>134492</v>
      </c>
      <c r="H28" s="166"/>
      <c r="I28" s="74"/>
      <c r="J28" s="23"/>
      <c r="K28" s="23"/>
    </row>
    <row r="29" spans="2:17" x14ac:dyDescent="0.25">
      <c r="B29" s="11"/>
      <c r="C29" s="19" t="s">
        <v>86</v>
      </c>
      <c r="D29" s="140">
        <v>0</v>
      </c>
      <c r="E29" s="151">
        <v>134492</v>
      </c>
      <c r="F29" s="151"/>
      <c r="G29" s="121">
        <f t="shared" si="2"/>
        <v>134492</v>
      </c>
      <c r="H29" s="166"/>
      <c r="I29" s="74"/>
      <c r="J29" s="23"/>
      <c r="K29" s="23"/>
    </row>
    <row r="30" spans="2:17" x14ac:dyDescent="0.25">
      <c r="B30" s="10"/>
      <c r="C30" s="18" t="s">
        <v>44</v>
      </c>
      <c r="D30" s="140">
        <f>'January 2021'!G29</f>
        <v>1.4210854715202004E-14</v>
      </c>
      <c r="E30" s="151"/>
      <c r="F30" s="134"/>
      <c r="G30" s="121">
        <f t="shared" si="2"/>
        <v>1.4210854715202004E-14</v>
      </c>
      <c r="H30" s="166"/>
      <c r="I30" s="73"/>
      <c r="J30" s="23"/>
      <c r="K30" s="5"/>
    </row>
    <row r="31" spans="2:17" x14ac:dyDescent="0.25">
      <c r="B31" s="775" t="s">
        <v>35</v>
      </c>
      <c r="C31" s="776"/>
      <c r="D31" s="141">
        <f>SUM(D32:D33)</f>
        <v>35958.219999999994</v>
      </c>
      <c r="E31" s="172">
        <f>SUM(E32:E33)</f>
        <v>8600</v>
      </c>
      <c r="F31" s="111">
        <f>SUM(F32:F33)</f>
        <v>1230.8800000000001</v>
      </c>
      <c r="G31" s="111">
        <f>SUM(G32:G33)</f>
        <v>43327.34</v>
      </c>
      <c r="H31" s="173">
        <f>SUM(H32:H33)</f>
        <v>0</v>
      </c>
      <c r="I31" s="73"/>
      <c r="J31" s="73"/>
      <c r="Q31" s="23"/>
    </row>
    <row r="32" spans="2:17" x14ac:dyDescent="0.25">
      <c r="B32" s="10"/>
      <c r="C32" s="18" t="s">
        <v>78</v>
      </c>
      <c r="D32" s="140">
        <f>'January 2021'!G31</f>
        <v>19214.48</v>
      </c>
      <c r="E32" s="174"/>
      <c r="F32" s="183"/>
      <c r="G32" s="119">
        <f t="shared" ref="G32:G33" si="3">D32+E32-F32</f>
        <v>19214.48</v>
      </c>
      <c r="H32" s="166"/>
      <c r="I32" s="73"/>
      <c r="J32" s="23"/>
      <c r="K32" s="5"/>
    </row>
    <row r="33" spans="2:17" ht="15.75" thickBot="1" x14ac:dyDescent="0.3">
      <c r="B33" s="10"/>
      <c r="C33" s="20" t="s">
        <v>88</v>
      </c>
      <c r="D33" s="140">
        <f>'January 2021'!G32-324.97</f>
        <v>16743.739999999994</v>
      </c>
      <c r="E33" s="174">
        <v>8600</v>
      </c>
      <c r="F33" s="134">
        <v>1230.8800000000001</v>
      </c>
      <c r="G33" s="119">
        <f t="shared" si="3"/>
        <v>24112.859999999993</v>
      </c>
      <c r="H33" s="166"/>
      <c r="I33" s="73"/>
      <c r="J33" s="93"/>
      <c r="K33" s="3"/>
      <c r="Q33" s="148"/>
    </row>
    <row r="34" spans="2:17" ht="15.75" thickBot="1" x14ac:dyDescent="0.3">
      <c r="B34" s="779" t="s">
        <v>11</v>
      </c>
      <c r="C34" s="766"/>
      <c r="D34" s="38">
        <f>D6+D17+D23+D31</f>
        <v>341280.24</v>
      </c>
      <c r="E34" s="203">
        <f>SUM(E23,E17,E6,E31)</f>
        <v>161332.13</v>
      </c>
      <c r="F34" s="203">
        <f>SUM(F23,F17,F6,F31)</f>
        <v>9907.5099999999984</v>
      </c>
      <c r="G34" s="44">
        <f>SUM(G23,G17,G6,G31)</f>
        <v>492704.86</v>
      </c>
      <c r="H34" s="78">
        <f>SUM(H6,H16,H23,H31)</f>
        <v>0</v>
      </c>
      <c r="I34" s="23"/>
      <c r="J34" s="23"/>
      <c r="K34" s="6"/>
    </row>
    <row r="35" spans="2:17" hidden="1" x14ac:dyDescent="0.25">
      <c r="B35" s="246"/>
      <c r="C35" s="247"/>
      <c r="D35" s="23">
        <f>SUM(D17:D22)</f>
        <v>-20252.5</v>
      </c>
      <c r="E35" s="23"/>
      <c r="F35" s="23"/>
      <c r="G35" s="23"/>
      <c r="H35" s="49"/>
      <c r="I35" s="23"/>
      <c r="L35" t="s">
        <v>12</v>
      </c>
      <c r="M35">
        <v>42.43</v>
      </c>
    </row>
    <row r="36" spans="2:17" ht="15.75" hidden="1" thickBot="1" x14ac:dyDescent="0.3">
      <c r="B36" s="9" t="s">
        <v>25</v>
      </c>
      <c r="C36" s="15"/>
      <c r="D36" s="33" t="e">
        <f>SUM(D34,#REF!)</f>
        <v>#REF!</v>
      </c>
      <c r="E36" s="34" t="e">
        <f>SUM(E34,#REF!)</f>
        <v>#REF!</v>
      </c>
      <c r="F36" s="34" t="e">
        <f>SUM(F34,#REF!)</f>
        <v>#REF!</v>
      </c>
      <c r="G36" s="35" t="e">
        <f>SUM(G34,#REF!)</f>
        <v>#REF!</v>
      </c>
      <c r="H36" s="49"/>
      <c r="I36" s="23"/>
      <c r="J36" s="6"/>
      <c r="K36" s="4">
        <v>206730.35</v>
      </c>
    </row>
    <row r="37" spans="2:17" ht="15.75" thickBot="1" x14ac:dyDescent="0.3">
      <c r="C37" s="7"/>
      <c r="D37" s="23"/>
      <c r="E37" s="23"/>
      <c r="F37" s="23"/>
      <c r="G37" s="23"/>
      <c r="H37" s="49"/>
      <c r="I37" s="64"/>
      <c r="J37" s="6"/>
      <c r="K37" s="4"/>
      <c r="Q37" s="23"/>
    </row>
    <row r="38" spans="2:17" ht="15.75" thickBot="1" x14ac:dyDescent="0.3">
      <c r="B38" s="780" t="s">
        <v>13</v>
      </c>
      <c r="C38" s="781"/>
      <c r="D38" s="31" t="s">
        <v>2</v>
      </c>
      <c r="E38" s="31" t="s">
        <v>3</v>
      </c>
      <c r="F38" s="31" t="s">
        <v>24</v>
      </c>
      <c r="G38" s="31" t="s">
        <v>27</v>
      </c>
      <c r="H38" s="31" t="s">
        <v>5</v>
      </c>
      <c r="I38" s="50"/>
      <c r="J38" s="6"/>
      <c r="K38" s="8"/>
    </row>
    <row r="39" spans="2:17" ht="15.75" thickBot="1" x14ac:dyDescent="0.3">
      <c r="B39" s="769" t="s">
        <v>14</v>
      </c>
      <c r="C39" s="770"/>
      <c r="D39" s="161">
        <f>'January 2021'!H38</f>
        <v>133.76000000000002</v>
      </c>
      <c r="E39" s="162">
        <v>100</v>
      </c>
      <c r="F39" s="162"/>
      <c r="G39" s="162">
        <v>10.199999999999999</v>
      </c>
      <c r="H39" s="114">
        <f>D39+E39+F39-G39+0.01</f>
        <v>223.57000000000002</v>
      </c>
      <c r="I39" s="23"/>
      <c r="K39" s="6"/>
      <c r="L39" s="4"/>
    </row>
    <row r="40" spans="2:17" ht="15.75" thickBot="1" x14ac:dyDescent="0.3">
      <c r="B40" s="782" t="s">
        <v>15</v>
      </c>
      <c r="C40" s="783"/>
      <c r="D40" s="161">
        <f>'January 2021'!H39</f>
        <v>8423.6200000000026</v>
      </c>
      <c r="E40" s="115">
        <v>92000</v>
      </c>
      <c r="F40" s="115"/>
      <c r="G40" s="115">
        <v>97033.79</v>
      </c>
      <c r="H40" s="155">
        <f>D40+E40+F40-G40</f>
        <v>3389.8300000000017</v>
      </c>
      <c r="I40" s="23"/>
      <c r="J40" s="65"/>
      <c r="K40" s="6"/>
    </row>
    <row r="41" spans="2:17" ht="15.75" thickBot="1" x14ac:dyDescent="0.3">
      <c r="B41" s="14"/>
      <c r="C41" s="16" t="s">
        <v>21</v>
      </c>
      <c r="D41" s="161">
        <f>'January 2021'!H40</f>
        <v>0</v>
      </c>
      <c r="E41" s="56"/>
      <c r="F41" s="56"/>
      <c r="G41" s="56"/>
      <c r="H41" s="156">
        <f t="shared" ref="H41" si="4">D41+E41+F41-G41</f>
        <v>0</v>
      </c>
      <c r="I41" s="23"/>
      <c r="J41" s="65"/>
      <c r="K41" s="4"/>
    </row>
    <row r="42" spans="2:17" ht="15.75" thickBot="1" x14ac:dyDescent="0.3">
      <c r="B42" s="14"/>
      <c r="C42" s="16" t="s">
        <v>40</v>
      </c>
      <c r="D42" s="161">
        <f>'January 2021'!H41</f>
        <v>-7058.880000000001</v>
      </c>
      <c r="E42" s="160">
        <v>6222.27</v>
      </c>
      <c r="F42" s="56"/>
      <c r="G42" s="160">
        <v>1394.43</v>
      </c>
      <c r="H42" s="157">
        <f>D42+E42+F42-G42</f>
        <v>-2231.0400000000009</v>
      </c>
      <c r="I42" s="23"/>
      <c r="J42" s="4"/>
      <c r="K42" s="4"/>
    </row>
    <row r="43" spans="2:17" ht="15.75" thickBot="1" x14ac:dyDescent="0.3">
      <c r="B43" s="769" t="s">
        <v>16</v>
      </c>
      <c r="C43" s="770"/>
      <c r="D43" s="161">
        <f>'January 2021'!H42</f>
        <v>166397.82000000007</v>
      </c>
      <c r="E43" s="61">
        <v>168498.77</v>
      </c>
      <c r="F43" s="61"/>
      <c r="G43" s="61">
        <v>92000</v>
      </c>
      <c r="H43" s="158">
        <f>D43+E43-F43-G43</f>
        <v>242896.59000000008</v>
      </c>
      <c r="I43" s="23"/>
      <c r="J43" s="4"/>
      <c r="K43" s="4"/>
    </row>
    <row r="44" spans="2:17" ht="15.75" thickBot="1" x14ac:dyDescent="0.3">
      <c r="B44" s="80" t="s">
        <v>46</v>
      </c>
      <c r="C44" s="81"/>
      <c r="D44" s="161">
        <f>'January 2021'!H43</f>
        <v>173383.55999999997</v>
      </c>
      <c r="E44" s="28">
        <f>41.98+76000</f>
        <v>76041.98</v>
      </c>
      <c r="F44" s="28"/>
      <c r="G44" s="28">
        <v>1000</v>
      </c>
      <c r="H44" s="159">
        <f>D44+E44+F44-G44</f>
        <v>248425.53999999998</v>
      </c>
      <c r="I44" s="23"/>
      <c r="J44" s="4"/>
      <c r="K44" s="4"/>
    </row>
    <row r="45" spans="2:17" ht="15.75" thickBot="1" x14ac:dyDescent="0.3">
      <c r="B45" s="765"/>
      <c r="C45" s="766"/>
      <c r="D45" s="29">
        <f>SUM(D39+D40+D43+D44+D42+D41)</f>
        <v>341279.88</v>
      </c>
      <c r="E45" s="204">
        <f>SUM(E39:E44)</f>
        <v>342863.01999999996</v>
      </c>
      <c r="F45" s="30">
        <f>SUM(F39:F44)</f>
        <v>0</v>
      </c>
      <c r="G45" s="204">
        <f>SUM(G39:G44)</f>
        <v>191438.41999999998</v>
      </c>
      <c r="H45" s="45">
        <f>SUM(H39+H40+H43+H41+H44+H42)</f>
        <v>492704.49000000005</v>
      </c>
      <c r="I45" s="23"/>
      <c r="J45" s="6"/>
      <c r="K45" s="4"/>
      <c r="L45" s="3"/>
    </row>
    <row r="46" spans="2:17" x14ac:dyDescent="0.25">
      <c r="B46" s="246"/>
      <c r="C46" s="247"/>
      <c r="D46" s="23">
        <f>D34-D45</f>
        <v>0.35999999998603016</v>
      </c>
      <c r="E46" s="23"/>
      <c r="F46" s="23"/>
      <c r="G46" s="23"/>
      <c r="H46" s="23">
        <f>G34-H45</f>
        <v>0.36999999993713573</v>
      </c>
      <c r="I46" s="23"/>
      <c r="J46" s="6"/>
      <c r="K46" s="6"/>
      <c r="L46" s="3"/>
    </row>
    <row r="47" spans="2:17" x14ac:dyDescent="0.25">
      <c r="C47" s="7"/>
      <c r="D47" s="23"/>
      <c r="E47" s="23"/>
      <c r="F47" s="23"/>
      <c r="G47" s="23"/>
      <c r="H47" s="23"/>
      <c r="I47" s="23"/>
      <c r="J47" s="6"/>
    </row>
    <row r="48" spans="2:17" ht="15.75" x14ac:dyDescent="0.25">
      <c r="B48" s="767" t="s">
        <v>17</v>
      </c>
      <c r="C48" s="767"/>
      <c r="D48" s="767"/>
      <c r="E48" s="767"/>
      <c r="F48" s="768" t="s">
        <v>18</v>
      </c>
      <c r="G48" s="768"/>
      <c r="H48" s="23"/>
      <c r="I48" s="23"/>
      <c r="K48" s="6"/>
    </row>
    <row r="49" spans="2:17" ht="15.75" x14ac:dyDescent="0.25">
      <c r="B49" s="248"/>
      <c r="C49" s="248"/>
      <c r="D49" s="249"/>
      <c r="E49" s="249"/>
      <c r="F49" s="249"/>
      <c r="G49" s="249"/>
      <c r="H49" s="23"/>
      <c r="I49" s="23"/>
    </row>
    <row r="50" spans="2:17" ht="15.75" x14ac:dyDescent="0.25">
      <c r="B50" s="767" t="s">
        <v>19</v>
      </c>
      <c r="C50" s="767"/>
      <c r="D50" s="767"/>
      <c r="E50" s="767"/>
      <c r="F50" s="768" t="s">
        <v>18</v>
      </c>
      <c r="G50" s="768"/>
      <c r="H50" s="23"/>
      <c r="I50" s="23"/>
    </row>
    <row r="51" spans="2:17" x14ac:dyDescent="0.25">
      <c r="B51" s="246"/>
      <c r="C51" s="247"/>
      <c r="D51" s="3"/>
      <c r="E51" s="3"/>
      <c r="F51" s="3"/>
      <c r="G51" s="4"/>
      <c r="H51" s="3"/>
      <c r="I51" s="3"/>
      <c r="J51" s="6"/>
      <c r="K51" s="4"/>
      <c r="Q51" s="17"/>
    </row>
    <row r="52" spans="2:17" x14ac:dyDescent="0.25">
      <c r="C52" s="7"/>
      <c r="D52" s="6"/>
      <c r="E52" s="6"/>
      <c r="F52" s="6"/>
      <c r="G52" s="6"/>
      <c r="J52" s="6"/>
      <c r="K52" s="8"/>
      <c r="M52" s="3"/>
      <c r="Q52" s="17"/>
    </row>
    <row r="53" spans="2:17" x14ac:dyDescent="0.25">
      <c r="C53" s="7"/>
      <c r="D53" s="4"/>
      <c r="E53" s="6"/>
      <c r="G53" s="6"/>
      <c r="K53" s="6"/>
    </row>
  </sheetData>
  <mergeCells count="17">
    <mergeCell ref="B45:C45"/>
    <mergeCell ref="B48:E48"/>
    <mergeCell ref="F48:G48"/>
    <mergeCell ref="B50:E50"/>
    <mergeCell ref="F50:G50"/>
    <mergeCell ref="B43:C43"/>
    <mergeCell ref="B2:H2"/>
    <mergeCell ref="B3:H3"/>
    <mergeCell ref="B5:C5"/>
    <mergeCell ref="B6:C6"/>
    <mergeCell ref="B17:C17"/>
    <mergeCell ref="B23:C23"/>
    <mergeCell ref="B31:C31"/>
    <mergeCell ref="B34:C34"/>
    <mergeCell ref="B38:C38"/>
    <mergeCell ref="B39:C39"/>
    <mergeCell ref="B40:C40"/>
  </mergeCells>
  <pageMargins left="0.7" right="0.7" top="0.75" bottom="0.75" header="0.3" footer="0.3"/>
  <pageSetup scale="82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6A572-819B-4DD4-A85B-9B5613C8F10E}">
  <dimension ref="A1:R54"/>
  <sheetViews>
    <sheetView topLeftCell="A2" zoomScale="110" zoomScaleNormal="110" workbookViewId="0">
      <selection activeCell="G41" sqref="G41:G43"/>
    </sheetView>
  </sheetViews>
  <sheetFormatPr defaultColWidth="9.140625" defaultRowHeight="11.25" x14ac:dyDescent="0.2"/>
  <cols>
    <col min="1" max="1" width="10.7109375" style="262" customWidth="1"/>
    <col min="2" max="2" width="28.140625" style="262" customWidth="1"/>
    <col min="3" max="3" width="10.5703125" style="262" customWidth="1"/>
    <col min="4" max="4" width="9.42578125" style="262" customWidth="1"/>
    <col min="5" max="5" width="9.140625" style="262" customWidth="1"/>
    <col min="6" max="6" width="10.28515625" style="262" customWidth="1"/>
    <col min="7" max="7" width="8.85546875" style="262" customWidth="1"/>
    <col min="8" max="8" width="35.85546875" style="262" bestFit="1" customWidth="1"/>
    <col min="9" max="9" width="14.7109375" style="262" customWidth="1"/>
    <col min="10" max="10" width="14.5703125" style="262" customWidth="1"/>
    <col min="11" max="11" width="11.28515625" style="262" customWidth="1"/>
    <col min="12" max="15" width="9.140625" style="262"/>
    <col min="16" max="16" width="13" style="262" customWidth="1"/>
    <col min="17" max="16384" width="9.140625" style="262"/>
  </cols>
  <sheetData>
    <row r="1" spans="1:18" hidden="1" x14ac:dyDescent="0.2"/>
    <row r="2" spans="1:18" x14ac:dyDescent="0.2">
      <c r="A2" s="786" t="s">
        <v>0</v>
      </c>
      <c r="B2" s="786"/>
      <c r="C2" s="786"/>
      <c r="D2" s="786"/>
      <c r="E2" s="786"/>
      <c r="F2" s="786"/>
      <c r="G2" s="786"/>
      <c r="H2" s="263"/>
    </row>
    <row r="3" spans="1:18" x14ac:dyDescent="0.2">
      <c r="A3" s="787" t="s">
        <v>89</v>
      </c>
      <c r="B3" s="787"/>
      <c r="C3" s="787"/>
      <c r="D3" s="787"/>
      <c r="E3" s="787"/>
      <c r="F3" s="787"/>
      <c r="G3" s="787"/>
      <c r="H3" s="264"/>
    </row>
    <row r="4" spans="1:18" ht="12" thickBot="1" x14ac:dyDescent="0.25">
      <c r="B4" s="265" t="s">
        <v>37</v>
      </c>
      <c r="F4" s="266"/>
      <c r="I4" s="267"/>
    </row>
    <row r="5" spans="1:18" x14ac:dyDescent="0.2">
      <c r="A5" s="788" t="s">
        <v>1</v>
      </c>
      <c r="B5" s="789"/>
      <c r="C5" s="268" t="s">
        <v>2</v>
      </c>
      <c r="D5" s="268" t="s">
        <v>3</v>
      </c>
      <c r="E5" s="268" t="s">
        <v>58</v>
      </c>
      <c r="F5" s="268" t="s">
        <v>5</v>
      </c>
      <c r="G5" s="268" t="s">
        <v>6</v>
      </c>
      <c r="H5" s="269"/>
      <c r="I5" s="269"/>
    </row>
    <row r="6" spans="1:18" x14ac:dyDescent="0.2">
      <c r="A6" s="790" t="s">
        <v>7</v>
      </c>
      <c r="B6" s="791"/>
      <c r="C6" s="270">
        <f>SUM(C7:C16)</f>
        <v>135653.81</v>
      </c>
      <c r="D6" s="271">
        <f>SUM(D7:D16)</f>
        <v>4923.18</v>
      </c>
      <c r="E6" s="271">
        <f>SUM(E7:E16)</f>
        <v>-8287.52</v>
      </c>
      <c r="F6" s="271">
        <f>SUM(F7:F16)</f>
        <v>148864.50999999998</v>
      </c>
      <c r="G6" s="272">
        <f>SUM(G7:G15)</f>
        <v>-5095</v>
      </c>
      <c r="H6" s="273"/>
      <c r="I6" s="273"/>
      <c r="J6" s="273"/>
      <c r="K6" s="274"/>
      <c r="P6" s="274"/>
      <c r="R6" s="274"/>
    </row>
    <row r="7" spans="1:18" ht="15.75" customHeight="1" x14ac:dyDescent="0.2">
      <c r="A7" s="275"/>
      <c r="B7" s="276" t="s">
        <v>23</v>
      </c>
      <c r="C7" s="277">
        <f>'February 2021'!G7</f>
        <v>140260.19</v>
      </c>
      <c r="D7" s="278">
        <f>116.93+550</f>
        <v>666.93000000000006</v>
      </c>
      <c r="E7" s="278">
        <f>1000+1547.71+100-12273.27</f>
        <v>-9625.5600000000013</v>
      </c>
      <c r="F7" s="279">
        <f>C7+D7-E7</f>
        <v>150552.68</v>
      </c>
      <c r="G7" s="280"/>
      <c r="H7" s="281"/>
      <c r="I7" s="274"/>
    </row>
    <row r="8" spans="1:18" x14ac:dyDescent="0.2">
      <c r="A8" s="282"/>
      <c r="B8" s="283" t="s">
        <v>62</v>
      </c>
      <c r="C8" s="277">
        <f>'February 2021'!G8</f>
        <v>-3022.31</v>
      </c>
      <c r="D8" s="284"/>
      <c r="E8" s="285">
        <v>831.01</v>
      </c>
      <c r="F8" s="286">
        <f t="shared" ref="F8:F16" si="0">C8+D8-E8</f>
        <v>-3853.3199999999997</v>
      </c>
      <c r="G8" s="280"/>
      <c r="H8" s="273"/>
      <c r="I8" s="287"/>
    </row>
    <row r="9" spans="1:18" hidden="1" x14ac:dyDescent="0.2">
      <c r="A9" s="282"/>
      <c r="B9" s="288" t="s">
        <v>67</v>
      </c>
      <c r="C9" s="277">
        <f>'February 2021'!G9</f>
        <v>0</v>
      </c>
      <c r="D9" s="284"/>
      <c r="E9" s="284"/>
      <c r="F9" s="279">
        <f t="shared" si="0"/>
        <v>0</v>
      </c>
      <c r="G9" s="280"/>
      <c r="H9" s="273"/>
      <c r="I9" s="289"/>
      <c r="J9" s="274"/>
    </row>
    <row r="10" spans="1:18" hidden="1" x14ac:dyDescent="0.2">
      <c r="A10" s="282"/>
      <c r="B10" s="288" t="s">
        <v>41</v>
      </c>
      <c r="C10" s="277">
        <f>'February 2021'!G10</f>
        <v>-1.0000000002037268E-2</v>
      </c>
      <c r="D10" s="290"/>
      <c r="E10" s="290"/>
      <c r="F10" s="286">
        <f t="shared" si="0"/>
        <v>-1.0000000002037268E-2</v>
      </c>
      <c r="G10" s="280"/>
      <c r="H10" s="273"/>
      <c r="I10" s="291"/>
      <c r="J10" s="274"/>
    </row>
    <row r="11" spans="1:18" hidden="1" x14ac:dyDescent="0.2">
      <c r="A11" s="282"/>
      <c r="B11" s="288" t="s">
        <v>29</v>
      </c>
      <c r="C11" s="277">
        <f>'February 2021'!G11</f>
        <v>0</v>
      </c>
      <c r="D11" s="292"/>
      <c r="E11" s="292"/>
      <c r="F11" s="279">
        <f t="shared" si="0"/>
        <v>0</v>
      </c>
      <c r="G11" s="280"/>
      <c r="H11" s="273"/>
      <c r="I11" s="293"/>
    </row>
    <row r="12" spans="1:18" x14ac:dyDescent="0.2">
      <c r="A12" s="282"/>
      <c r="B12" s="288" t="s">
        <v>20</v>
      </c>
      <c r="C12" s="277">
        <f>'February 2021'!G12</f>
        <v>-686.25999999999942</v>
      </c>
      <c r="D12" s="290">
        <f>3816.66+165.61</f>
        <v>3982.27</v>
      </c>
      <c r="E12" s="294">
        <v>120.26</v>
      </c>
      <c r="F12" s="295">
        <f>C12+D12-E12</f>
        <v>3175.7500000000005</v>
      </c>
      <c r="G12" s="280">
        <v>-5695</v>
      </c>
      <c r="H12" s="273"/>
      <c r="I12" s="274"/>
    </row>
    <row r="13" spans="1:18" x14ac:dyDescent="0.2">
      <c r="A13" s="282"/>
      <c r="B13" s="288" t="s">
        <v>22</v>
      </c>
      <c r="C13" s="277">
        <f>'February 2021'!G13</f>
        <v>270.61999999999989</v>
      </c>
      <c r="D13" s="290">
        <v>273.98</v>
      </c>
      <c r="E13" s="294"/>
      <c r="F13" s="295">
        <f>C13+D13-E13</f>
        <v>544.59999999999991</v>
      </c>
      <c r="G13" s="280"/>
      <c r="H13" s="273"/>
      <c r="I13" s="274"/>
    </row>
    <row r="14" spans="1:18" x14ac:dyDescent="0.2">
      <c r="A14" s="282"/>
      <c r="B14" s="288" t="s">
        <v>28</v>
      </c>
      <c r="C14" s="277">
        <f>'February 2021'!G14</f>
        <v>-1382.2700000000009</v>
      </c>
      <c r="D14" s="294"/>
      <c r="E14" s="290">
        <v>351.68</v>
      </c>
      <c r="F14" s="286">
        <f t="shared" si="0"/>
        <v>-1733.950000000001</v>
      </c>
      <c r="G14" s="280"/>
      <c r="H14" s="273"/>
      <c r="I14" s="274"/>
    </row>
    <row r="15" spans="1:18" x14ac:dyDescent="0.2">
      <c r="A15" s="282"/>
      <c r="B15" s="296" t="s">
        <v>42</v>
      </c>
      <c r="C15" s="277">
        <f>'February 2021'!G15</f>
        <v>550.38000000000011</v>
      </c>
      <c r="D15" s="284"/>
      <c r="E15" s="284"/>
      <c r="F15" s="297">
        <f t="shared" si="0"/>
        <v>550.38000000000011</v>
      </c>
      <c r="G15" s="280">
        <v>600</v>
      </c>
      <c r="H15" s="273"/>
      <c r="I15" s="274"/>
    </row>
    <row r="16" spans="1:18" x14ac:dyDescent="0.2">
      <c r="A16" s="282"/>
      <c r="B16" s="296" t="s">
        <v>43</v>
      </c>
      <c r="C16" s="277">
        <f>'February 2021'!G16</f>
        <v>-336.53000000000026</v>
      </c>
      <c r="D16" s="284"/>
      <c r="E16" s="284">
        <v>35.090000000000003</v>
      </c>
      <c r="F16" s="295">
        <f t="shared" si="0"/>
        <v>-371.62000000000023</v>
      </c>
      <c r="G16" s="280"/>
      <c r="H16" s="273"/>
      <c r="I16" s="273"/>
      <c r="P16" s="274"/>
    </row>
    <row r="17" spans="1:16" x14ac:dyDescent="0.2">
      <c r="A17" s="792" t="s">
        <v>53</v>
      </c>
      <c r="B17" s="793"/>
      <c r="C17" s="298">
        <f>SUM(C18:C22)</f>
        <v>-13969.61</v>
      </c>
      <c r="D17" s="299">
        <f>SUM(D18:D22)</f>
        <v>15176</v>
      </c>
      <c r="E17" s="299">
        <f>SUM(E18:E22)</f>
        <v>7625.25</v>
      </c>
      <c r="F17" s="286">
        <f>SUM(F18:F22)</f>
        <v>-6418.8600000000006</v>
      </c>
      <c r="G17" s="300"/>
      <c r="H17" s="273"/>
      <c r="I17" s="273"/>
      <c r="P17" s="274"/>
    </row>
    <row r="18" spans="1:16" x14ac:dyDescent="0.2">
      <c r="A18" s="301"/>
      <c r="B18" s="302" t="s">
        <v>9</v>
      </c>
      <c r="C18" s="303">
        <f>'February 2021'!G18</f>
        <v>-10654.44</v>
      </c>
      <c r="D18" s="304">
        <v>15176</v>
      </c>
      <c r="E18" s="305">
        <v>4632.7</v>
      </c>
      <c r="F18" s="306">
        <f>C18+D18-E18</f>
        <v>-111.14000000000033</v>
      </c>
      <c r="G18" s="284">
        <v>15176</v>
      </c>
      <c r="H18" s="273"/>
      <c r="I18" s="274"/>
      <c r="J18" s="79"/>
    </row>
    <row r="19" spans="1:16" x14ac:dyDescent="0.2">
      <c r="A19" s="282"/>
      <c r="B19" s="307" t="s">
        <v>8</v>
      </c>
      <c r="C19" s="303">
        <f>'February 2021'!G19</f>
        <v>-1512.2699999999998</v>
      </c>
      <c r="D19" s="294"/>
      <c r="E19" s="290">
        <f>1330.48+75</f>
        <v>1405.48</v>
      </c>
      <c r="F19" s="306">
        <f>C19+D19-E19</f>
        <v>-2917.75</v>
      </c>
      <c r="G19" s="308"/>
      <c r="H19" s="273"/>
      <c r="I19" s="274"/>
    </row>
    <row r="20" spans="1:16" x14ac:dyDescent="0.2">
      <c r="A20" s="282"/>
      <c r="B20" s="307" t="s">
        <v>32</v>
      </c>
      <c r="C20" s="303">
        <f>'February 2021'!G20</f>
        <v>-568.52000000000078</v>
      </c>
      <c r="D20" s="294"/>
      <c r="E20" s="290">
        <v>661.28</v>
      </c>
      <c r="F20" s="306">
        <f t="shared" ref="F20:F22" si="1">C20+D20-E20</f>
        <v>-1229.8000000000006</v>
      </c>
      <c r="G20" s="309">
        <v>5000</v>
      </c>
      <c r="H20" s="273"/>
      <c r="I20" s="274"/>
    </row>
    <row r="21" spans="1:16" hidden="1" x14ac:dyDescent="0.2">
      <c r="A21" s="282"/>
      <c r="B21" s="307" t="s">
        <v>67</v>
      </c>
      <c r="C21" s="303">
        <f>'February 2021'!G21</f>
        <v>-9.0951551845463996E-15</v>
      </c>
      <c r="D21" s="294"/>
      <c r="E21" s="294"/>
      <c r="F21" s="306">
        <f t="shared" si="1"/>
        <v>-9.0951551845463996E-15</v>
      </c>
      <c r="G21" s="309"/>
      <c r="H21" s="273"/>
      <c r="I21" s="274"/>
    </row>
    <row r="22" spans="1:16" x14ac:dyDescent="0.2">
      <c r="A22" s="310"/>
      <c r="B22" s="311" t="s">
        <v>38</v>
      </c>
      <c r="C22" s="303">
        <f>'February 2021'!G22</f>
        <v>-1234.3800000000001</v>
      </c>
      <c r="D22" s="312"/>
      <c r="E22" s="305">
        <v>925.79</v>
      </c>
      <c r="F22" s="306">
        <f t="shared" si="1"/>
        <v>-2160.17</v>
      </c>
      <c r="G22" s="284">
        <v>8500</v>
      </c>
      <c r="H22" s="273"/>
      <c r="I22" s="274"/>
      <c r="J22" s="79"/>
    </row>
    <row r="23" spans="1:16" x14ac:dyDescent="0.2">
      <c r="A23" s="790" t="s">
        <v>10</v>
      </c>
      <c r="B23" s="791"/>
      <c r="C23" s="298">
        <f>SUM(C24:C30)</f>
        <v>327693.32</v>
      </c>
      <c r="D23" s="313">
        <f>SUM(D24:D30)</f>
        <v>0</v>
      </c>
      <c r="E23" s="314">
        <f>SUM(E24:E30)</f>
        <v>14065</v>
      </c>
      <c r="F23" s="314">
        <f>SUM(F24:F30)</f>
        <v>313628.32</v>
      </c>
      <c r="G23" s="315">
        <f>SUM(G30:G34)</f>
        <v>70450</v>
      </c>
      <c r="H23" s="273"/>
      <c r="I23" s="273"/>
      <c r="P23" s="274"/>
    </row>
    <row r="24" spans="1:16" hidden="1" x14ac:dyDescent="0.2">
      <c r="A24" s="301"/>
      <c r="B24" s="316" t="s">
        <v>55</v>
      </c>
      <c r="C24" s="303">
        <f>'February 2021'!G24</f>
        <v>0</v>
      </c>
      <c r="D24" s="317"/>
      <c r="E24" s="304"/>
      <c r="F24" s="318">
        <f>C24+D24-E24</f>
        <v>0</v>
      </c>
      <c r="G24" s="278"/>
      <c r="H24" s="273"/>
      <c r="I24" s="274"/>
      <c r="J24" s="319"/>
    </row>
    <row r="25" spans="1:16" x14ac:dyDescent="0.2">
      <c r="A25" s="310"/>
      <c r="B25" s="296" t="s">
        <v>70</v>
      </c>
      <c r="C25" s="303">
        <f>'February 2021'!G25</f>
        <v>18710</v>
      </c>
      <c r="D25" s="312"/>
      <c r="E25" s="312"/>
      <c r="F25" s="318">
        <f>C25+D25-E25</f>
        <v>18710</v>
      </c>
      <c r="G25" s="284"/>
      <c r="H25" s="273"/>
      <c r="I25" s="274"/>
      <c r="J25" s="319"/>
    </row>
    <row r="26" spans="1:16" hidden="1" x14ac:dyDescent="0.2">
      <c r="A26" s="275"/>
      <c r="B26" s="320" t="s">
        <v>34</v>
      </c>
      <c r="C26" s="303">
        <f>'February 2021'!G26</f>
        <v>5.4569682106375694E-12</v>
      </c>
      <c r="D26" s="305"/>
      <c r="E26" s="321"/>
      <c r="F26" s="318">
        <f t="shared" ref="F26:F30" si="2">C26+D26-E26</f>
        <v>5.4569682106375694E-12</v>
      </c>
      <c r="G26" s="284"/>
      <c r="H26" s="273"/>
      <c r="I26" s="274"/>
      <c r="J26" s="274"/>
    </row>
    <row r="27" spans="1:16" x14ac:dyDescent="0.2">
      <c r="A27" s="275"/>
      <c r="B27" s="320" t="s">
        <v>39</v>
      </c>
      <c r="C27" s="303">
        <f>'February 2021'!G27</f>
        <v>39999.320000000007</v>
      </c>
      <c r="D27" s="312"/>
      <c r="E27" s="305">
        <v>14065</v>
      </c>
      <c r="F27" s="318">
        <f t="shared" si="2"/>
        <v>25934.320000000007</v>
      </c>
      <c r="G27" s="284"/>
      <c r="H27" s="273"/>
      <c r="I27" s="274"/>
      <c r="J27" s="274"/>
    </row>
    <row r="28" spans="1:16" x14ac:dyDescent="0.2">
      <c r="A28" s="275"/>
      <c r="B28" s="320" t="s">
        <v>65</v>
      </c>
      <c r="C28" s="303">
        <f>'February 2021'!G28</f>
        <v>134492</v>
      </c>
      <c r="D28" s="312"/>
      <c r="E28" s="312"/>
      <c r="F28" s="318">
        <f t="shared" si="2"/>
        <v>134492</v>
      </c>
      <c r="G28" s="284"/>
      <c r="H28" s="273"/>
      <c r="I28" s="274"/>
      <c r="J28" s="274"/>
    </row>
    <row r="29" spans="1:16" x14ac:dyDescent="0.2">
      <c r="A29" s="275"/>
      <c r="B29" s="320" t="s">
        <v>86</v>
      </c>
      <c r="C29" s="303">
        <f>'February 2021'!G29</f>
        <v>134492</v>
      </c>
      <c r="D29" s="312"/>
      <c r="E29" s="312"/>
      <c r="F29" s="318">
        <f t="shared" si="2"/>
        <v>134492</v>
      </c>
      <c r="G29" s="284"/>
      <c r="H29" s="273"/>
      <c r="I29" s="274"/>
      <c r="J29" s="274"/>
    </row>
    <row r="30" spans="1:16" x14ac:dyDescent="0.2">
      <c r="A30" s="310"/>
      <c r="B30" s="296" t="s">
        <v>44</v>
      </c>
      <c r="C30" s="303">
        <f>'February 2021'!G30</f>
        <v>1.4210854715202004E-14</v>
      </c>
      <c r="D30" s="312"/>
      <c r="E30" s="305"/>
      <c r="F30" s="318">
        <f t="shared" si="2"/>
        <v>1.4210854715202004E-14</v>
      </c>
      <c r="G30" s="284">
        <v>450</v>
      </c>
      <c r="H30" s="273"/>
      <c r="I30" s="274"/>
      <c r="J30" s="319"/>
    </row>
    <row r="31" spans="1:16" x14ac:dyDescent="0.2">
      <c r="A31" s="790" t="s">
        <v>35</v>
      </c>
      <c r="B31" s="791"/>
      <c r="C31" s="298">
        <f>SUM(C32:C34)</f>
        <v>43327.34</v>
      </c>
      <c r="D31" s="313">
        <f>SUM(D32:D34)</f>
        <v>35000</v>
      </c>
      <c r="E31" s="314">
        <f>SUM(E32:E34)</f>
        <v>427.04</v>
      </c>
      <c r="F31" s="314">
        <f>SUM(F32:F34)</f>
        <v>77900.299999999988</v>
      </c>
      <c r="G31" s="315">
        <f>SUM(G32:G34)</f>
        <v>35000</v>
      </c>
      <c r="H31" s="273"/>
      <c r="I31" s="273"/>
      <c r="P31" s="274"/>
    </row>
    <row r="32" spans="1:16" x14ac:dyDescent="0.2">
      <c r="A32" s="310"/>
      <c r="B32" s="296" t="s">
        <v>78</v>
      </c>
      <c r="C32" s="303">
        <f>'February 2021'!G32</f>
        <v>19214.48</v>
      </c>
      <c r="D32" s="322"/>
      <c r="E32" s="323"/>
      <c r="F32" s="324">
        <f t="shared" ref="F32:F33" si="3">C32+D32-E32</f>
        <v>19214.48</v>
      </c>
      <c r="G32" s="284"/>
      <c r="H32" s="273"/>
      <c r="I32" s="274"/>
      <c r="J32" s="319"/>
    </row>
    <row r="33" spans="1:16" x14ac:dyDescent="0.2">
      <c r="A33" s="310"/>
      <c r="B33" s="296" t="s">
        <v>90</v>
      </c>
      <c r="C33" s="303">
        <v>0</v>
      </c>
      <c r="D33" s="322">
        <v>35000</v>
      </c>
      <c r="E33" s="323">
        <v>427.04</v>
      </c>
      <c r="F33" s="324">
        <f t="shared" si="3"/>
        <v>34572.959999999999</v>
      </c>
      <c r="G33" s="284">
        <v>35000</v>
      </c>
      <c r="H33" s="273"/>
      <c r="I33" s="274"/>
      <c r="J33" s="319"/>
    </row>
    <row r="34" spans="1:16" ht="12" thickBot="1" x14ac:dyDescent="0.25">
      <c r="A34" s="310"/>
      <c r="B34" s="325" t="s">
        <v>77</v>
      </c>
      <c r="C34" s="303">
        <f>'February 2021'!G33</f>
        <v>24112.859999999993</v>
      </c>
      <c r="D34" s="322"/>
      <c r="E34" s="305"/>
      <c r="F34" s="324">
        <f>C34+D34-E34</f>
        <v>24112.859999999993</v>
      </c>
      <c r="G34" s="284"/>
      <c r="H34" s="273"/>
      <c r="I34" s="293"/>
      <c r="J34" s="266"/>
      <c r="P34" s="326"/>
    </row>
    <row r="35" spans="1:16" ht="12" thickBot="1" x14ac:dyDescent="0.25">
      <c r="A35" s="794" t="s">
        <v>11</v>
      </c>
      <c r="B35" s="795"/>
      <c r="C35" s="327">
        <f>C6+C17+C23+C31</f>
        <v>492704.86</v>
      </c>
      <c r="D35" s="328">
        <f>SUM(D23,D17,D6,D31)</f>
        <v>55099.18</v>
      </c>
      <c r="E35" s="328">
        <f>SUM(E23,E17,E6,E31)</f>
        <v>13829.77</v>
      </c>
      <c r="F35" s="329">
        <f>SUM(F23,F17,F6,F31)</f>
        <v>533974.27</v>
      </c>
      <c r="G35" s="330">
        <f>SUM(G6,G16,G23,G31)</f>
        <v>100355</v>
      </c>
      <c r="H35" s="274"/>
      <c r="I35" s="274"/>
      <c r="J35" s="331"/>
    </row>
    <row r="36" spans="1:16" hidden="1" x14ac:dyDescent="0.2">
      <c r="A36" s="332"/>
      <c r="B36" s="333"/>
      <c r="C36" s="274">
        <f>SUM(C17:C22)</f>
        <v>-27939.220000000005</v>
      </c>
      <c r="D36" s="274"/>
      <c r="E36" s="274"/>
      <c r="F36" s="274"/>
      <c r="G36" s="334"/>
      <c r="H36" s="274"/>
      <c r="K36" s="262" t="s">
        <v>12</v>
      </c>
      <c r="L36" s="262">
        <v>42.43</v>
      </c>
    </row>
    <row r="37" spans="1:16" ht="12" hidden="1" thickBot="1" x14ac:dyDescent="0.25">
      <c r="A37" s="335" t="s">
        <v>25</v>
      </c>
      <c r="B37" s="336"/>
      <c r="C37" s="337" t="e">
        <f>SUM(C35,#REF!)</f>
        <v>#REF!</v>
      </c>
      <c r="D37" s="338" t="e">
        <f>SUM(D35,#REF!)</f>
        <v>#REF!</v>
      </c>
      <c r="E37" s="338" t="e">
        <f>SUM(E35,#REF!)</f>
        <v>#REF!</v>
      </c>
      <c r="F37" s="339" t="e">
        <f>SUM(F35,#REF!)</f>
        <v>#REF!</v>
      </c>
      <c r="G37" s="334"/>
      <c r="H37" s="274"/>
      <c r="I37" s="331"/>
      <c r="J37" s="79">
        <v>206730.35</v>
      </c>
    </row>
    <row r="38" spans="1:16" ht="12" thickBot="1" x14ac:dyDescent="0.25">
      <c r="B38" s="340"/>
      <c r="C38" s="274"/>
      <c r="D38" s="274"/>
      <c r="E38" s="274"/>
      <c r="F38" s="274"/>
      <c r="G38" s="334"/>
      <c r="H38" s="341"/>
      <c r="I38" s="331"/>
      <c r="J38" s="79"/>
      <c r="P38" s="274"/>
    </row>
    <row r="39" spans="1:16" ht="12" thickBot="1" x14ac:dyDescent="0.25">
      <c r="A39" s="796" t="s">
        <v>13</v>
      </c>
      <c r="B39" s="797"/>
      <c r="C39" s="342" t="s">
        <v>2</v>
      </c>
      <c r="D39" s="342" t="s">
        <v>3</v>
      </c>
      <c r="E39" s="342" t="s">
        <v>24</v>
      </c>
      <c r="F39" s="342" t="s">
        <v>27</v>
      </c>
      <c r="G39" s="342" t="s">
        <v>5</v>
      </c>
      <c r="H39" s="269"/>
      <c r="I39" s="331"/>
      <c r="J39" s="343"/>
    </row>
    <row r="40" spans="1:16" ht="12" thickBot="1" x14ac:dyDescent="0.25">
      <c r="A40" s="784" t="s">
        <v>14</v>
      </c>
      <c r="B40" s="785"/>
      <c r="C40" s="344">
        <f>'February 2021'!H39</f>
        <v>223.57000000000002</v>
      </c>
      <c r="D40" s="345"/>
      <c r="E40" s="345"/>
      <c r="F40" s="345">
        <v>11.4</v>
      </c>
      <c r="G40" s="346">
        <f>C40+D40+E40-F40</f>
        <v>212.17000000000002</v>
      </c>
      <c r="H40" s="274"/>
      <c r="J40" s="331"/>
      <c r="K40" s="79"/>
    </row>
    <row r="41" spans="1:16" ht="12" thickBot="1" x14ac:dyDescent="0.25">
      <c r="A41" s="798" t="s">
        <v>15</v>
      </c>
      <c r="B41" s="799"/>
      <c r="C41" s="344">
        <f>'February 2021'!H40</f>
        <v>3389.8300000000017</v>
      </c>
      <c r="D41" s="347">
        <v>33000</v>
      </c>
      <c r="E41" s="347"/>
      <c r="F41" s="347">
        <v>14535.5</v>
      </c>
      <c r="G41" s="348">
        <f>C41+D41+E41-F41</f>
        <v>21854.33</v>
      </c>
      <c r="H41" s="274"/>
      <c r="I41" s="349"/>
      <c r="J41" s="331"/>
    </row>
    <row r="42" spans="1:16" ht="12" thickBot="1" x14ac:dyDescent="0.25">
      <c r="A42" s="350"/>
      <c r="B42" s="351" t="s">
        <v>21</v>
      </c>
      <c r="C42" s="344">
        <f>'February 2021'!H41</f>
        <v>0</v>
      </c>
      <c r="D42" s="352"/>
      <c r="E42" s="352"/>
      <c r="F42" s="352"/>
      <c r="G42" s="352">
        <f t="shared" ref="G42" si="4">C42+D42+E42-F42</f>
        <v>0</v>
      </c>
      <c r="H42" s="274"/>
      <c r="I42" s="349"/>
      <c r="J42" s="79"/>
    </row>
    <row r="43" spans="1:16" ht="12" thickBot="1" x14ac:dyDescent="0.25">
      <c r="A43" s="350"/>
      <c r="B43" s="351" t="s">
        <v>40</v>
      </c>
      <c r="C43" s="344">
        <f>'February 2021'!H42</f>
        <v>-2231.0400000000009</v>
      </c>
      <c r="D43" s="353">
        <f>1394.43+197.28+137.85</f>
        <v>1729.56</v>
      </c>
      <c r="E43" s="352"/>
      <c r="F43" s="353">
        <v>3126.56</v>
      </c>
      <c r="G43" s="354">
        <f>C43+D43+E43-F43</f>
        <v>-3628.0400000000009</v>
      </c>
      <c r="H43" s="274"/>
      <c r="I43" s="79"/>
      <c r="J43" s="79"/>
    </row>
    <row r="44" spans="1:16" ht="12" thickBot="1" x14ac:dyDescent="0.25">
      <c r="A44" s="784" t="s">
        <v>16</v>
      </c>
      <c r="B44" s="785"/>
      <c r="C44" s="344">
        <f>'February 2021'!H43</f>
        <v>242896.59000000008</v>
      </c>
      <c r="D44" s="355">
        <v>58162.82</v>
      </c>
      <c r="E44" s="355"/>
      <c r="F44" s="355">
        <v>33000</v>
      </c>
      <c r="G44" s="356">
        <f>C44+D44-E44-F44</f>
        <v>268059.41000000009</v>
      </c>
      <c r="H44" s="274"/>
      <c r="I44" s="79"/>
      <c r="J44" s="79"/>
    </row>
    <row r="45" spans="1:16" ht="12" thickBot="1" x14ac:dyDescent="0.25">
      <c r="A45" s="357" t="s">
        <v>46</v>
      </c>
      <c r="B45" s="358"/>
      <c r="C45" s="344">
        <f>'February 2021'!H44</f>
        <v>248425.53999999998</v>
      </c>
      <c r="D45" s="322">
        <v>50.52</v>
      </c>
      <c r="E45" s="322"/>
      <c r="F45" s="322">
        <v>1000</v>
      </c>
      <c r="G45" s="359">
        <f>C45+D45+E45-F45</f>
        <v>247476.05999999997</v>
      </c>
      <c r="H45" s="274"/>
      <c r="I45" s="79"/>
      <c r="J45" s="79"/>
    </row>
    <row r="46" spans="1:16" ht="12" thickBot="1" x14ac:dyDescent="0.25">
      <c r="A46" s="800"/>
      <c r="B46" s="795"/>
      <c r="C46" s="360">
        <f>SUM(C40+C41+C44+C45+C43+C42)</f>
        <v>492704.49000000005</v>
      </c>
      <c r="D46" s="361">
        <f>SUM(D40:D45)</f>
        <v>92942.900000000009</v>
      </c>
      <c r="E46" s="362">
        <f>SUM(E40:E45)</f>
        <v>0</v>
      </c>
      <c r="F46" s="361">
        <f>SUM(F40:F45)</f>
        <v>51673.46</v>
      </c>
      <c r="G46" s="363">
        <f>SUM(G40+G41+G44+G42+G45+G43)</f>
        <v>533973.93000000005</v>
      </c>
      <c r="H46" s="274"/>
      <c r="I46" s="331"/>
      <c r="J46" s="79"/>
      <c r="K46" s="266"/>
    </row>
    <row r="47" spans="1:16" x14ac:dyDescent="0.2">
      <c r="A47" s="332"/>
      <c r="B47" s="333"/>
      <c r="C47" s="274">
        <f>C35-C46</f>
        <v>0.36999999993713573</v>
      </c>
      <c r="D47" s="274"/>
      <c r="E47" s="274"/>
      <c r="F47" s="274"/>
      <c r="G47" s="274">
        <f>F35-G46</f>
        <v>0.33999999996740371</v>
      </c>
      <c r="H47" s="274"/>
      <c r="I47" s="331"/>
      <c r="J47" s="331"/>
      <c r="K47" s="266"/>
    </row>
    <row r="48" spans="1:16" x14ac:dyDescent="0.2">
      <c r="B48" s="340"/>
      <c r="C48" s="274"/>
      <c r="D48" s="274"/>
      <c r="E48" s="274"/>
      <c r="F48" s="274"/>
      <c r="G48" s="274"/>
      <c r="H48" s="274"/>
      <c r="I48" s="331"/>
    </row>
    <row r="49" spans="1:16" x14ac:dyDescent="0.2">
      <c r="A49" s="801" t="s">
        <v>17</v>
      </c>
      <c r="B49" s="801"/>
      <c r="C49" s="801"/>
      <c r="D49" s="801"/>
      <c r="E49" s="802" t="s">
        <v>18</v>
      </c>
      <c r="F49" s="802"/>
      <c r="G49" s="274"/>
      <c r="H49" s="274"/>
      <c r="J49" s="331"/>
    </row>
    <row r="50" spans="1:16" x14ac:dyDescent="0.2">
      <c r="C50" s="274"/>
      <c r="D50" s="274"/>
      <c r="E50" s="274"/>
      <c r="F50" s="274"/>
      <c r="G50" s="274"/>
      <c r="H50" s="274"/>
    </row>
    <row r="51" spans="1:16" x14ac:dyDescent="0.2">
      <c r="A51" s="801" t="s">
        <v>19</v>
      </c>
      <c r="B51" s="801"/>
      <c r="C51" s="801"/>
      <c r="D51" s="801"/>
      <c r="E51" s="802" t="s">
        <v>18</v>
      </c>
      <c r="F51" s="802"/>
      <c r="G51" s="274"/>
      <c r="H51" s="274"/>
    </row>
    <row r="52" spans="1:16" x14ac:dyDescent="0.2">
      <c r="A52" s="332"/>
      <c r="B52" s="333"/>
      <c r="C52" s="266"/>
      <c r="D52" s="266"/>
      <c r="E52" s="266"/>
      <c r="F52" s="79"/>
      <c r="G52" s="266"/>
      <c r="H52" s="266"/>
      <c r="I52" s="331"/>
      <c r="J52" s="79"/>
      <c r="P52" s="364"/>
    </row>
    <row r="53" spans="1:16" x14ac:dyDescent="0.2">
      <c r="B53" s="340"/>
      <c r="C53" s="331"/>
      <c r="D53" s="331"/>
      <c r="E53" s="331"/>
      <c r="F53" s="331"/>
      <c r="I53" s="331"/>
      <c r="J53" s="343"/>
      <c r="L53" s="266"/>
      <c r="P53" s="364"/>
    </row>
    <row r="54" spans="1:16" x14ac:dyDescent="0.2">
      <c r="B54" s="340"/>
      <c r="C54" s="79"/>
      <c r="D54" s="331"/>
      <c r="F54" s="331"/>
      <c r="J54" s="331"/>
    </row>
  </sheetData>
  <mergeCells count="17">
    <mergeCell ref="A46:B46"/>
    <mergeCell ref="A49:D49"/>
    <mergeCell ref="E49:F49"/>
    <mergeCell ref="A51:D51"/>
    <mergeCell ref="E51:F51"/>
    <mergeCell ref="A44:B44"/>
    <mergeCell ref="A2:G2"/>
    <mergeCell ref="A3:G3"/>
    <mergeCell ref="A5:B5"/>
    <mergeCell ref="A6:B6"/>
    <mergeCell ref="A17:B17"/>
    <mergeCell ref="A23:B23"/>
    <mergeCell ref="A31:B31"/>
    <mergeCell ref="A35:B35"/>
    <mergeCell ref="A39:B39"/>
    <mergeCell ref="A40:B40"/>
    <mergeCell ref="A41:B41"/>
  </mergeCells>
  <pageMargins left="0.7" right="0.7" top="0.75" bottom="0.75" header="0.3" footer="0.3"/>
  <pageSetup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AA026-5D0E-4C3B-A774-85D3927A7378}">
  <dimension ref="A1:R54"/>
  <sheetViews>
    <sheetView topLeftCell="A8" zoomScale="140" zoomScaleNormal="140" workbookViewId="0">
      <selection activeCell="E45" sqref="E45"/>
    </sheetView>
  </sheetViews>
  <sheetFormatPr defaultColWidth="9.140625" defaultRowHeight="11.25" x14ac:dyDescent="0.2"/>
  <cols>
    <col min="1" max="1" width="10.7109375" style="369" customWidth="1"/>
    <col min="2" max="2" width="28.140625" style="369" customWidth="1"/>
    <col min="3" max="3" width="10.5703125" style="369" customWidth="1"/>
    <col min="4" max="4" width="9.42578125" style="369" customWidth="1"/>
    <col min="5" max="5" width="9.140625" style="369"/>
    <col min="6" max="6" width="10.28515625" style="369" customWidth="1"/>
    <col min="7" max="7" width="8.85546875" style="369" customWidth="1"/>
    <col min="8" max="8" width="35.85546875" style="369" bestFit="1" customWidth="1"/>
    <col min="9" max="9" width="14.7109375" style="369" customWidth="1"/>
    <col min="10" max="10" width="14.5703125" style="369" customWidth="1"/>
    <col min="11" max="11" width="11.28515625" style="369" customWidth="1"/>
    <col min="12" max="15" width="9.140625" style="369"/>
    <col min="16" max="16" width="13" style="369" customWidth="1"/>
    <col min="17" max="16384" width="9.140625" style="369"/>
  </cols>
  <sheetData>
    <row r="1" spans="1:18" hidden="1" x14ac:dyDescent="0.2"/>
    <row r="2" spans="1:18" x14ac:dyDescent="0.2">
      <c r="A2" s="786" t="s">
        <v>0</v>
      </c>
      <c r="B2" s="786"/>
      <c r="C2" s="786"/>
      <c r="D2" s="786"/>
      <c r="E2" s="786"/>
      <c r="F2" s="786"/>
      <c r="G2" s="786"/>
      <c r="H2" s="365"/>
    </row>
    <row r="3" spans="1:18" x14ac:dyDescent="0.2">
      <c r="A3" s="787" t="s">
        <v>91</v>
      </c>
      <c r="B3" s="787"/>
      <c r="C3" s="787"/>
      <c r="D3" s="787"/>
      <c r="E3" s="787"/>
      <c r="F3" s="787"/>
      <c r="G3" s="787"/>
      <c r="H3" s="366"/>
    </row>
    <row r="4" spans="1:18" ht="12" thickBot="1" x14ac:dyDescent="0.25">
      <c r="B4" s="265" t="s">
        <v>37</v>
      </c>
      <c r="F4" s="266"/>
      <c r="I4" s="267"/>
    </row>
    <row r="5" spans="1:18" x14ac:dyDescent="0.2">
      <c r="A5" s="788" t="s">
        <v>1</v>
      </c>
      <c r="B5" s="789"/>
      <c r="C5" s="268" t="s">
        <v>2</v>
      </c>
      <c r="D5" s="268" t="s">
        <v>3</v>
      </c>
      <c r="E5" s="268" t="s">
        <v>58</v>
      </c>
      <c r="F5" s="268" t="s">
        <v>5</v>
      </c>
      <c r="G5" s="268" t="s">
        <v>6</v>
      </c>
      <c r="H5" s="269"/>
      <c r="I5" s="269"/>
    </row>
    <row r="6" spans="1:18" x14ac:dyDescent="0.2">
      <c r="A6" s="790" t="s">
        <v>7</v>
      </c>
      <c r="B6" s="791"/>
      <c r="C6" s="270">
        <f>SUM(C7:C16)</f>
        <v>148864.50999999998</v>
      </c>
      <c r="D6" s="271">
        <f>SUM(D7:D16)</f>
        <v>7888.14</v>
      </c>
      <c r="E6" s="271">
        <f>SUM(E7:E16)</f>
        <v>7159.0400000000009</v>
      </c>
      <c r="F6" s="271">
        <f>SUM(F7:F16)</f>
        <v>149593.60999999996</v>
      </c>
      <c r="G6" s="272">
        <f>SUM(G7:G15)</f>
        <v>-5095</v>
      </c>
      <c r="H6" s="273"/>
      <c r="I6" s="273"/>
      <c r="J6" s="273"/>
      <c r="K6" s="370"/>
      <c r="P6" s="370"/>
      <c r="R6" s="370"/>
    </row>
    <row r="7" spans="1:18" ht="15.75" customHeight="1" x14ac:dyDescent="0.2">
      <c r="A7" s="275"/>
      <c r="B7" s="276" t="s">
        <v>23</v>
      </c>
      <c r="C7" s="277">
        <f>'March 2021'!F7</f>
        <v>150552.68</v>
      </c>
      <c r="D7" s="278">
        <f>113.02</f>
        <v>113.02</v>
      </c>
      <c r="E7" s="278">
        <f>1000+537.97+1938.72+300+228+438.04</f>
        <v>4442.7300000000005</v>
      </c>
      <c r="F7" s="279">
        <f>C7+D7-E7</f>
        <v>146222.96999999997</v>
      </c>
      <c r="G7" s="280"/>
      <c r="H7" s="281"/>
      <c r="I7" s="370"/>
    </row>
    <row r="8" spans="1:18" x14ac:dyDescent="0.2">
      <c r="A8" s="282"/>
      <c r="B8" s="283" t="s">
        <v>62</v>
      </c>
      <c r="C8" s="277">
        <f>'March 2021'!F8</f>
        <v>-3853.3199999999997</v>
      </c>
      <c r="D8" s="284">
        <v>3853.32</v>
      </c>
      <c r="E8" s="285">
        <v>1195.3800000000001</v>
      </c>
      <c r="F8" s="286">
        <f t="shared" ref="F8:F16" si="0">C8+D8-E8</f>
        <v>-1195.3799999999997</v>
      </c>
      <c r="G8" s="280"/>
      <c r="H8" s="273"/>
      <c r="I8" s="287"/>
    </row>
    <row r="9" spans="1:18" hidden="1" x14ac:dyDescent="0.2">
      <c r="A9" s="282"/>
      <c r="B9" s="288" t="s">
        <v>67</v>
      </c>
      <c r="C9" s="277">
        <f>'March 2021'!F9</f>
        <v>0</v>
      </c>
      <c r="D9" s="284"/>
      <c r="E9" s="284"/>
      <c r="F9" s="279">
        <f t="shared" si="0"/>
        <v>0</v>
      </c>
      <c r="G9" s="280"/>
      <c r="H9" s="273"/>
      <c r="I9" s="289"/>
      <c r="J9" s="370"/>
    </row>
    <row r="10" spans="1:18" hidden="1" x14ac:dyDescent="0.2">
      <c r="A10" s="282"/>
      <c r="B10" s="288" t="s">
        <v>41</v>
      </c>
      <c r="C10" s="277">
        <f>'March 2021'!F10</f>
        <v>-1.0000000002037268E-2</v>
      </c>
      <c r="D10" s="290"/>
      <c r="E10" s="290"/>
      <c r="F10" s="286">
        <f t="shared" si="0"/>
        <v>-1.0000000002037268E-2</v>
      </c>
      <c r="G10" s="280"/>
      <c r="H10" s="273"/>
      <c r="I10" s="291"/>
      <c r="J10" s="370"/>
    </row>
    <row r="11" spans="1:18" hidden="1" x14ac:dyDescent="0.2">
      <c r="A11" s="282"/>
      <c r="B11" s="288" t="s">
        <v>29</v>
      </c>
      <c r="C11" s="277">
        <f>'March 2021'!F11</f>
        <v>0</v>
      </c>
      <c r="D11" s="292"/>
      <c r="E11" s="292"/>
      <c r="F11" s="279">
        <f t="shared" si="0"/>
        <v>0</v>
      </c>
      <c r="G11" s="280"/>
      <c r="H11" s="273"/>
      <c r="I11" s="293"/>
    </row>
    <row r="12" spans="1:18" x14ac:dyDescent="0.2">
      <c r="A12" s="282"/>
      <c r="B12" s="288" t="s">
        <v>20</v>
      </c>
      <c r="C12" s="277">
        <f>'March 2021'!F12</f>
        <v>3175.7500000000005</v>
      </c>
      <c r="D12" s="290">
        <f>1537.31+510.23</f>
        <v>2047.54</v>
      </c>
      <c r="E12" s="294">
        <f>117.26</f>
        <v>117.26</v>
      </c>
      <c r="F12" s="295">
        <f>C12+D12-E12</f>
        <v>5106.0300000000007</v>
      </c>
      <c r="G12" s="280">
        <v>-5695</v>
      </c>
      <c r="H12" s="273"/>
      <c r="I12" s="370"/>
    </row>
    <row r="13" spans="1:18" x14ac:dyDescent="0.2">
      <c r="A13" s="282"/>
      <c r="B13" s="288" t="s">
        <v>22</v>
      </c>
      <c r="C13" s="277">
        <f>'March 2021'!F13</f>
        <v>544.59999999999991</v>
      </c>
      <c r="D13" s="290">
        <v>140.33000000000001</v>
      </c>
      <c r="E13" s="294">
        <v>550</v>
      </c>
      <c r="F13" s="295">
        <f>C13+D13-E13</f>
        <v>134.92999999999995</v>
      </c>
      <c r="G13" s="280"/>
      <c r="H13" s="273"/>
      <c r="I13" s="370"/>
    </row>
    <row r="14" spans="1:18" x14ac:dyDescent="0.2">
      <c r="A14" s="282"/>
      <c r="B14" s="288" t="s">
        <v>28</v>
      </c>
      <c r="C14" s="277">
        <f>'March 2021'!F14</f>
        <v>-1733.950000000001</v>
      </c>
      <c r="D14" s="294">
        <v>1733.93</v>
      </c>
      <c r="E14" s="290">
        <v>678.24</v>
      </c>
      <c r="F14" s="286">
        <f t="shared" si="0"/>
        <v>-678.2600000000009</v>
      </c>
      <c r="G14" s="280"/>
      <c r="H14" s="273"/>
      <c r="I14" s="370"/>
    </row>
    <row r="15" spans="1:18" x14ac:dyDescent="0.2">
      <c r="A15" s="282"/>
      <c r="B15" s="296" t="s">
        <v>42</v>
      </c>
      <c r="C15" s="277">
        <f>'March 2021'!F15</f>
        <v>550.38000000000011</v>
      </c>
      <c r="D15" s="284"/>
      <c r="E15" s="284">
        <v>140.34</v>
      </c>
      <c r="F15" s="297">
        <f t="shared" si="0"/>
        <v>410.04000000000008</v>
      </c>
      <c r="G15" s="280">
        <v>600</v>
      </c>
      <c r="H15" s="273"/>
      <c r="I15" s="370"/>
    </row>
    <row r="16" spans="1:18" x14ac:dyDescent="0.2">
      <c r="A16" s="282"/>
      <c r="B16" s="296" t="s">
        <v>43</v>
      </c>
      <c r="C16" s="277">
        <f>'March 2021'!F16</f>
        <v>-371.62000000000023</v>
      </c>
      <c r="D16" s="284"/>
      <c r="E16" s="284">
        <v>35.090000000000003</v>
      </c>
      <c r="F16" s="295">
        <f t="shared" si="0"/>
        <v>-406.71000000000026</v>
      </c>
      <c r="G16" s="280"/>
      <c r="H16" s="273"/>
      <c r="I16" s="273"/>
      <c r="P16" s="370"/>
    </row>
    <row r="17" spans="1:16" x14ac:dyDescent="0.2">
      <c r="A17" s="792" t="s">
        <v>53</v>
      </c>
      <c r="B17" s="793"/>
      <c r="C17" s="298">
        <f>SUM(C18:C22)</f>
        <v>-6418.8600000000006</v>
      </c>
      <c r="D17" s="299">
        <f>SUM(D18:D22)</f>
        <v>2842.77</v>
      </c>
      <c r="E17" s="299">
        <f>SUM(E18:E22)</f>
        <v>7347.4400000000005</v>
      </c>
      <c r="F17" s="286">
        <f>SUM(F18:F22)</f>
        <v>-10923.53</v>
      </c>
      <c r="G17" s="300"/>
      <c r="H17" s="273"/>
      <c r="I17" s="273"/>
      <c r="P17" s="370"/>
    </row>
    <row r="18" spans="1:16" x14ac:dyDescent="0.2">
      <c r="A18" s="301"/>
      <c r="B18" s="302" t="s">
        <v>9</v>
      </c>
      <c r="C18" s="303">
        <f>'March 2021'!F18</f>
        <v>-111.14000000000033</v>
      </c>
      <c r="D18" s="304"/>
      <c r="E18" s="305">
        <v>4126.91</v>
      </c>
      <c r="F18" s="306">
        <f>C18+D18-E18</f>
        <v>-4238.05</v>
      </c>
      <c r="G18" s="284">
        <v>15176</v>
      </c>
      <c r="H18" s="273"/>
      <c r="I18" s="370"/>
      <c r="J18" s="79"/>
    </row>
    <row r="19" spans="1:16" x14ac:dyDescent="0.2">
      <c r="A19" s="282"/>
      <c r="B19" s="307" t="s">
        <v>8</v>
      </c>
      <c r="C19" s="303">
        <f>'March 2021'!F19</f>
        <v>-2917.75</v>
      </c>
      <c r="D19" s="294">
        <v>2842.77</v>
      </c>
      <c r="E19" s="290">
        <f>698.71+26</f>
        <v>724.71</v>
      </c>
      <c r="F19" s="306">
        <f>C19+D19-E19</f>
        <v>-799.69</v>
      </c>
      <c r="G19" s="308"/>
      <c r="H19" s="273"/>
      <c r="I19" s="370"/>
    </row>
    <row r="20" spans="1:16" x14ac:dyDescent="0.2">
      <c r="A20" s="282"/>
      <c r="B20" s="307" t="s">
        <v>32</v>
      </c>
      <c r="C20" s="303">
        <f>'March 2021'!F20</f>
        <v>-1229.8000000000006</v>
      </c>
      <c r="D20" s="294"/>
      <c r="E20" s="290">
        <v>1190.3</v>
      </c>
      <c r="F20" s="306">
        <f t="shared" ref="F20:F22" si="1">C20+D20-E20</f>
        <v>-2420.1000000000004</v>
      </c>
      <c r="G20" s="309">
        <v>5000</v>
      </c>
      <c r="H20" s="273"/>
      <c r="I20" s="370"/>
    </row>
    <row r="21" spans="1:16" hidden="1" x14ac:dyDescent="0.2">
      <c r="A21" s="282"/>
      <c r="B21" s="307" t="s">
        <v>67</v>
      </c>
      <c r="C21" s="303">
        <f>'March 2021'!F21</f>
        <v>-9.0951551845463996E-15</v>
      </c>
      <c r="D21" s="294"/>
      <c r="E21" s="294"/>
      <c r="F21" s="306">
        <f t="shared" si="1"/>
        <v>-9.0951551845463996E-15</v>
      </c>
      <c r="G21" s="309"/>
      <c r="H21" s="273"/>
      <c r="I21" s="370"/>
    </row>
    <row r="22" spans="1:16" x14ac:dyDescent="0.2">
      <c r="A22" s="310"/>
      <c r="B22" s="311" t="s">
        <v>38</v>
      </c>
      <c r="C22" s="303">
        <f>'March 2021'!F22</f>
        <v>-2160.17</v>
      </c>
      <c r="D22" s="312"/>
      <c r="E22" s="305">
        <f>1131.52+174</f>
        <v>1305.52</v>
      </c>
      <c r="F22" s="306">
        <f t="shared" si="1"/>
        <v>-3465.69</v>
      </c>
      <c r="G22" s="284">
        <v>8500</v>
      </c>
      <c r="H22" s="273"/>
      <c r="I22" s="370"/>
      <c r="J22" s="79"/>
    </row>
    <row r="23" spans="1:16" x14ac:dyDescent="0.2">
      <c r="A23" s="790" t="s">
        <v>10</v>
      </c>
      <c r="B23" s="791"/>
      <c r="C23" s="298">
        <f>SUM(C24:C30)</f>
        <v>313628.32</v>
      </c>
      <c r="D23" s="313">
        <f>SUM(D24:D30)</f>
        <v>0</v>
      </c>
      <c r="E23" s="314">
        <f>SUM(E24:E30)</f>
        <v>12519.22</v>
      </c>
      <c r="F23" s="314">
        <f>SUM(F24:F30)</f>
        <v>301109.09999999998</v>
      </c>
      <c r="G23" s="315">
        <f>SUM(G30:G34)</f>
        <v>70450</v>
      </c>
      <c r="H23" s="273"/>
      <c r="I23" s="273"/>
      <c r="P23" s="370"/>
    </row>
    <row r="24" spans="1:16" hidden="1" x14ac:dyDescent="0.2">
      <c r="A24" s="301"/>
      <c r="B24" s="316" t="s">
        <v>55</v>
      </c>
      <c r="C24" s="303">
        <f>'February 2021'!G24</f>
        <v>0</v>
      </c>
      <c r="D24" s="317"/>
      <c r="E24" s="304"/>
      <c r="F24" s="318">
        <f>C24+D24-E24</f>
        <v>0</v>
      </c>
      <c r="G24" s="278"/>
      <c r="H24" s="273"/>
      <c r="I24" s="370"/>
      <c r="J24" s="319"/>
    </row>
    <row r="25" spans="1:16" x14ac:dyDescent="0.2">
      <c r="A25" s="310"/>
      <c r="B25" s="296" t="s">
        <v>70</v>
      </c>
      <c r="C25" s="303">
        <f>'March 2021'!F25</f>
        <v>18710</v>
      </c>
      <c r="D25" s="312"/>
      <c r="E25" s="312"/>
      <c r="F25" s="318">
        <f>C25+D25-E25</f>
        <v>18710</v>
      </c>
      <c r="G25" s="284"/>
      <c r="H25" s="273"/>
      <c r="I25" s="370"/>
      <c r="J25" s="319"/>
    </row>
    <row r="26" spans="1:16" hidden="1" x14ac:dyDescent="0.2">
      <c r="A26" s="275"/>
      <c r="B26" s="320" t="s">
        <v>34</v>
      </c>
      <c r="C26" s="303">
        <f>'March 2021'!F26</f>
        <v>5.4569682106375694E-12</v>
      </c>
      <c r="D26" s="305"/>
      <c r="E26" s="321"/>
      <c r="F26" s="318">
        <f t="shared" ref="F26:F30" si="2">C26+D26-E26</f>
        <v>5.4569682106375694E-12</v>
      </c>
      <c r="G26" s="284"/>
      <c r="H26" s="273"/>
      <c r="I26" s="370"/>
      <c r="J26" s="370"/>
    </row>
    <row r="27" spans="1:16" x14ac:dyDescent="0.2">
      <c r="A27" s="275"/>
      <c r="B27" s="320" t="s">
        <v>39</v>
      </c>
      <c r="C27" s="303">
        <f>'March 2021'!F27</f>
        <v>25934.320000000007</v>
      </c>
      <c r="D27" s="312"/>
      <c r="E27" s="305">
        <v>12519.22</v>
      </c>
      <c r="F27" s="318">
        <f t="shared" si="2"/>
        <v>13415.100000000008</v>
      </c>
      <c r="G27" s="284"/>
      <c r="H27" s="273"/>
      <c r="I27" s="370"/>
      <c r="J27" s="370"/>
    </row>
    <row r="28" spans="1:16" x14ac:dyDescent="0.2">
      <c r="A28" s="275"/>
      <c r="B28" s="320" t="s">
        <v>65</v>
      </c>
      <c r="C28" s="303">
        <f>'March 2021'!F28</f>
        <v>134492</v>
      </c>
      <c r="D28" s="312"/>
      <c r="E28" s="312"/>
      <c r="F28" s="318">
        <f t="shared" si="2"/>
        <v>134492</v>
      </c>
      <c r="G28" s="284"/>
      <c r="H28" s="273"/>
      <c r="I28" s="370"/>
      <c r="J28" s="370"/>
    </row>
    <row r="29" spans="1:16" x14ac:dyDescent="0.2">
      <c r="A29" s="275"/>
      <c r="B29" s="320" t="s">
        <v>86</v>
      </c>
      <c r="C29" s="303">
        <f>'March 2021'!F29</f>
        <v>134492</v>
      </c>
      <c r="D29" s="312"/>
      <c r="E29" s="312"/>
      <c r="F29" s="318">
        <f t="shared" si="2"/>
        <v>134492</v>
      </c>
      <c r="G29" s="284"/>
      <c r="H29" s="273"/>
      <c r="I29" s="370"/>
      <c r="J29" s="370"/>
    </row>
    <row r="30" spans="1:16" x14ac:dyDescent="0.2">
      <c r="A30" s="310"/>
      <c r="B30" s="296" t="s">
        <v>44</v>
      </c>
      <c r="C30" s="303">
        <f>'March 2021'!F30</f>
        <v>1.4210854715202004E-14</v>
      </c>
      <c r="D30" s="312"/>
      <c r="E30" s="305"/>
      <c r="F30" s="318">
        <f t="shared" si="2"/>
        <v>1.4210854715202004E-14</v>
      </c>
      <c r="G30" s="284">
        <v>450</v>
      </c>
      <c r="H30" s="273"/>
      <c r="I30" s="370"/>
      <c r="J30" s="319"/>
    </row>
    <row r="31" spans="1:16" x14ac:dyDescent="0.2">
      <c r="A31" s="790" t="s">
        <v>35</v>
      </c>
      <c r="B31" s="791"/>
      <c r="C31" s="298">
        <f>SUM(C32:C34)</f>
        <v>77900.299999999988</v>
      </c>
      <c r="D31" s="313">
        <f>SUM(D32:D34)</f>
        <v>0</v>
      </c>
      <c r="E31" s="314">
        <f>SUM(E32:E34)</f>
        <v>2557.09</v>
      </c>
      <c r="F31" s="314">
        <f>SUM(F32:F34)</f>
        <v>75668.179999999993</v>
      </c>
      <c r="G31" s="315">
        <f>SUM(G32:G34)</f>
        <v>35000</v>
      </c>
      <c r="H31" s="273"/>
      <c r="I31" s="273"/>
      <c r="P31" s="370"/>
    </row>
    <row r="32" spans="1:16" x14ac:dyDescent="0.2">
      <c r="A32" s="310"/>
      <c r="B32" s="296" t="s">
        <v>78</v>
      </c>
      <c r="C32" s="303">
        <f>'March 2021'!F32</f>
        <v>19214.48</v>
      </c>
      <c r="D32" s="322"/>
      <c r="E32" s="323"/>
      <c r="F32" s="324">
        <f t="shared" ref="F32:F33" si="3">C32+D32-E32</f>
        <v>19214.48</v>
      </c>
      <c r="G32" s="284"/>
      <c r="H32" s="273"/>
      <c r="I32" s="370"/>
      <c r="J32" s="319"/>
    </row>
    <row r="33" spans="1:16" x14ac:dyDescent="0.2">
      <c r="A33" s="310"/>
      <c r="B33" s="296" t="s">
        <v>90</v>
      </c>
      <c r="C33" s="303">
        <f>'March 2021'!F33</f>
        <v>34572.959999999999</v>
      </c>
      <c r="D33" s="322"/>
      <c r="E33" s="323">
        <v>1548.02</v>
      </c>
      <c r="F33" s="324">
        <f t="shared" si="3"/>
        <v>33024.94</v>
      </c>
      <c r="G33" s="284">
        <v>35000</v>
      </c>
      <c r="H33" s="273"/>
      <c r="I33" s="370"/>
      <c r="J33" s="319"/>
    </row>
    <row r="34" spans="1:16" ht="12" thickBot="1" x14ac:dyDescent="0.25">
      <c r="A34" s="310"/>
      <c r="B34" s="325" t="s">
        <v>77</v>
      </c>
      <c r="C34" s="303">
        <f>'March 2021'!F34</f>
        <v>24112.859999999993</v>
      </c>
      <c r="D34" s="322"/>
      <c r="E34" s="305">
        <v>1009.07</v>
      </c>
      <c r="F34" s="324">
        <f>C34+D34-E34+324.97</f>
        <v>23428.759999999995</v>
      </c>
      <c r="G34" s="284"/>
      <c r="H34" s="273"/>
      <c r="I34" s="293"/>
      <c r="J34" s="266"/>
      <c r="P34" s="326"/>
    </row>
    <row r="35" spans="1:16" ht="12" thickBot="1" x14ac:dyDescent="0.25">
      <c r="A35" s="794" t="s">
        <v>11</v>
      </c>
      <c r="B35" s="795"/>
      <c r="C35" s="327">
        <f>C6+C17+C23+C31</f>
        <v>533974.27</v>
      </c>
      <c r="D35" s="328">
        <f>SUM(D23,D17,D6,D31)</f>
        <v>10730.91</v>
      </c>
      <c r="E35" s="328">
        <f>SUM(E23,E17,E6,E31)</f>
        <v>29582.79</v>
      </c>
      <c r="F35" s="329">
        <f>SUM(F23,F17,F6,F31)</f>
        <v>515447.35999999993</v>
      </c>
      <c r="G35" s="330">
        <f>SUM(G6,G16,G23,G31)</f>
        <v>100355</v>
      </c>
      <c r="H35" s="370"/>
      <c r="I35" s="370"/>
      <c r="J35" s="331"/>
    </row>
    <row r="36" spans="1:16" hidden="1" x14ac:dyDescent="0.2">
      <c r="A36" s="367"/>
      <c r="B36" s="368"/>
      <c r="C36" s="370">
        <f>SUM(C17:C22)</f>
        <v>-12837.720000000001</v>
      </c>
      <c r="D36" s="370"/>
      <c r="E36" s="370"/>
      <c r="F36" s="370"/>
      <c r="G36" s="334"/>
      <c r="H36" s="370"/>
      <c r="K36" s="369" t="s">
        <v>12</v>
      </c>
      <c r="L36" s="369">
        <v>42.43</v>
      </c>
    </row>
    <row r="37" spans="1:16" ht="12" hidden="1" thickBot="1" x14ac:dyDescent="0.25">
      <c r="A37" s="335" t="s">
        <v>25</v>
      </c>
      <c r="B37" s="336"/>
      <c r="C37" s="337" t="e">
        <f>SUM(C35,#REF!)</f>
        <v>#REF!</v>
      </c>
      <c r="D37" s="338" t="e">
        <f>SUM(D35,#REF!)</f>
        <v>#REF!</v>
      </c>
      <c r="E37" s="338" t="e">
        <f>SUM(E35,#REF!)</f>
        <v>#REF!</v>
      </c>
      <c r="F37" s="339" t="e">
        <f>SUM(F35,#REF!)</f>
        <v>#REF!</v>
      </c>
      <c r="G37" s="334"/>
      <c r="H37" s="370"/>
      <c r="I37" s="331"/>
      <c r="J37" s="79">
        <v>206730.35</v>
      </c>
    </row>
    <row r="38" spans="1:16" ht="12" thickBot="1" x14ac:dyDescent="0.25">
      <c r="B38" s="340"/>
      <c r="C38" s="370"/>
      <c r="D38" s="370"/>
      <c r="E38" s="370"/>
      <c r="F38" s="370"/>
      <c r="G38" s="334"/>
      <c r="H38" s="341"/>
      <c r="I38" s="331"/>
      <c r="J38" s="79"/>
      <c r="P38" s="370"/>
    </row>
    <row r="39" spans="1:16" ht="12" thickBot="1" x14ac:dyDescent="0.25">
      <c r="A39" s="796" t="s">
        <v>13</v>
      </c>
      <c r="B39" s="797"/>
      <c r="C39" s="342" t="s">
        <v>2</v>
      </c>
      <c r="D39" s="342" t="s">
        <v>3</v>
      </c>
      <c r="E39" s="342" t="s">
        <v>27</v>
      </c>
      <c r="F39" s="342" t="s">
        <v>5</v>
      </c>
      <c r="G39" s="269"/>
      <c r="H39" s="331"/>
      <c r="I39" s="343"/>
    </row>
    <row r="40" spans="1:16" ht="12" thickBot="1" x14ac:dyDescent="0.25">
      <c r="A40" s="784" t="s">
        <v>14</v>
      </c>
      <c r="B40" s="785"/>
      <c r="C40" s="344">
        <f>'March 2021'!G40</f>
        <v>212.17000000000002</v>
      </c>
      <c r="D40" s="345"/>
      <c r="E40" s="345">
        <v>9</v>
      </c>
      <c r="F40" s="346">
        <f>C40+D40-E40</f>
        <v>203.17000000000002</v>
      </c>
      <c r="G40" s="370"/>
      <c r="I40" s="331"/>
      <c r="J40" s="79"/>
    </row>
    <row r="41" spans="1:16" ht="12" thickBot="1" x14ac:dyDescent="0.25">
      <c r="A41" s="798" t="s">
        <v>15</v>
      </c>
      <c r="B41" s="799"/>
      <c r="C41" s="344">
        <f>'March 2021'!G41</f>
        <v>21854.33</v>
      </c>
      <c r="D41" s="347">
        <v>24000</v>
      </c>
      <c r="E41" s="347">
        <v>19127.96</v>
      </c>
      <c r="F41" s="346">
        <f t="shared" ref="F41:F46" si="4">C41+D41-E41</f>
        <v>26726.370000000003</v>
      </c>
      <c r="G41" s="370"/>
      <c r="H41" s="349"/>
      <c r="I41" s="331"/>
    </row>
    <row r="42" spans="1:16" ht="12" thickBot="1" x14ac:dyDescent="0.25">
      <c r="A42" s="350"/>
      <c r="B42" s="351" t="s">
        <v>21</v>
      </c>
      <c r="C42" s="344">
        <f>'March 2021'!G42</f>
        <v>0</v>
      </c>
      <c r="D42" s="352"/>
      <c r="E42" s="352"/>
      <c r="F42" s="346">
        <f t="shared" si="4"/>
        <v>0</v>
      </c>
      <c r="G42" s="370"/>
      <c r="H42" s="349"/>
      <c r="I42" s="79"/>
    </row>
    <row r="43" spans="1:16" ht="12" thickBot="1" x14ac:dyDescent="0.25">
      <c r="A43" s="350"/>
      <c r="B43" s="351" t="s">
        <v>40</v>
      </c>
      <c r="C43" s="344">
        <f>'March 2021'!G43</f>
        <v>-3628.0400000000009</v>
      </c>
      <c r="D43" s="353">
        <v>3126.56</v>
      </c>
      <c r="E43" s="353">
        <v>1954.47</v>
      </c>
      <c r="F43" s="346">
        <f t="shared" si="4"/>
        <v>-2455.9500000000007</v>
      </c>
      <c r="G43" s="370"/>
      <c r="H43" s="79"/>
      <c r="I43" s="79"/>
    </row>
    <row r="44" spans="1:16" ht="12" thickBot="1" x14ac:dyDescent="0.25">
      <c r="A44" s="784" t="s">
        <v>16</v>
      </c>
      <c r="B44" s="785"/>
      <c r="C44" s="344">
        <f>'March 2021'!G44</f>
        <v>268059.41000000009</v>
      </c>
      <c r="D44" s="355">
        <v>64.12</v>
      </c>
      <c r="E44" s="355">
        <v>24000</v>
      </c>
      <c r="F44" s="346">
        <f t="shared" si="4"/>
        <v>244123.53000000009</v>
      </c>
      <c r="G44" s="370"/>
      <c r="H44" s="79"/>
      <c r="I44" s="79"/>
    </row>
    <row r="45" spans="1:16" ht="12" thickBot="1" x14ac:dyDescent="0.25">
      <c r="A45" s="357" t="s">
        <v>46</v>
      </c>
      <c r="B45" s="358"/>
      <c r="C45" s="344">
        <f>'March 2021'!G45</f>
        <v>247476.05999999997</v>
      </c>
      <c r="D45" s="322">
        <v>48.9</v>
      </c>
      <c r="E45" s="322">
        <v>1000</v>
      </c>
      <c r="F45" s="346">
        <f t="shared" si="4"/>
        <v>246524.95999999996</v>
      </c>
      <c r="G45" s="370"/>
      <c r="H45" s="79"/>
      <c r="I45" s="79"/>
    </row>
    <row r="46" spans="1:16" ht="12" thickBot="1" x14ac:dyDescent="0.25">
      <c r="A46" s="800"/>
      <c r="B46" s="795"/>
      <c r="C46" s="360">
        <f>SUM(C40+C41+C44+C45+C43+C42)</f>
        <v>533973.93000000005</v>
      </c>
      <c r="D46" s="361">
        <f>SUM(D40:D45)</f>
        <v>27239.58</v>
      </c>
      <c r="E46" s="361">
        <f>SUM(E40:E45)</f>
        <v>46091.43</v>
      </c>
      <c r="F46" s="346">
        <f t="shared" si="4"/>
        <v>515122.08</v>
      </c>
      <c r="G46" s="370"/>
      <c r="H46" s="331"/>
      <c r="I46" s="79"/>
      <c r="J46" s="266"/>
    </row>
    <row r="47" spans="1:16" x14ac:dyDescent="0.2">
      <c r="A47" s="367"/>
      <c r="B47" s="368"/>
      <c r="C47" s="370">
        <f>C35-C46</f>
        <v>0.33999999996740371</v>
      </c>
      <c r="D47" s="370"/>
      <c r="E47" s="370"/>
      <c r="F47" s="370">
        <f>F35-F46-324.97</f>
        <v>0.30999999991149707</v>
      </c>
      <c r="H47" s="370"/>
      <c r="I47" s="331"/>
      <c r="J47" s="331"/>
      <c r="K47" s="266"/>
    </row>
    <row r="48" spans="1:16" x14ac:dyDescent="0.2">
      <c r="B48" s="340"/>
      <c r="C48" s="370"/>
      <c r="D48" s="370"/>
      <c r="E48" s="370"/>
      <c r="F48" s="370"/>
      <c r="G48" s="370"/>
      <c r="H48" s="370"/>
      <c r="I48" s="331"/>
    </row>
    <row r="49" spans="1:16" x14ac:dyDescent="0.2">
      <c r="A49" s="801" t="s">
        <v>17</v>
      </c>
      <c r="B49" s="801"/>
      <c r="C49" s="801"/>
      <c r="D49" s="801"/>
      <c r="E49" s="802" t="s">
        <v>18</v>
      </c>
      <c r="F49" s="802"/>
      <c r="G49" s="370"/>
      <c r="H49" s="370"/>
      <c r="J49" s="331"/>
    </row>
    <row r="50" spans="1:16" x14ac:dyDescent="0.2">
      <c r="C50" s="370"/>
      <c r="D50" s="370"/>
      <c r="E50" s="370"/>
      <c r="F50" s="370"/>
      <c r="G50" s="370"/>
      <c r="H50" s="370"/>
    </row>
    <row r="51" spans="1:16" x14ac:dyDescent="0.2">
      <c r="A51" s="801" t="s">
        <v>19</v>
      </c>
      <c r="B51" s="801"/>
      <c r="C51" s="801"/>
      <c r="D51" s="801"/>
      <c r="E51" s="802" t="s">
        <v>18</v>
      </c>
      <c r="F51" s="802"/>
      <c r="G51" s="370"/>
      <c r="H51" s="370"/>
    </row>
    <row r="52" spans="1:16" x14ac:dyDescent="0.2">
      <c r="A52" s="367"/>
      <c r="B52" s="368"/>
      <c r="C52" s="266"/>
      <c r="D52" s="266"/>
      <c r="E52" s="266"/>
      <c r="F52" s="79"/>
      <c r="G52" s="266"/>
      <c r="H52" s="266"/>
      <c r="I52" s="331"/>
      <c r="J52" s="79"/>
      <c r="P52" s="364"/>
    </row>
    <row r="53" spans="1:16" x14ac:dyDescent="0.2">
      <c r="B53" s="340"/>
      <c r="C53" s="331"/>
      <c r="D53" s="331"/>
      <c r="E53" s="331"/>
      <c r="F53" s="331"/>
      <c r="I53" s="331"/>
      <c r="J53" s="343"/>
      <c r="L53" s="266"/>
      <c r="P53" s="364"/>
    </row>
    <row r="54" spans="1:16" x14ac:dyDescent="0.2">
      <c r="B54" s="340"/>
      <c r="C54" s="79"/>
      <c r="D54" s="331"/>
      <c r="F54" s="331"/>
      <c r="J54" s="331"/>
    </row>
  </sheetData>
  <mergeCells count="17">
    <mergeCell ref="A44:B44"/>
    <mergeCell ref="A2:G2"/>
    <mergeCell ref="A3:G3"/>
    <mergeCell ref="A5:B5"/>
    <mergeCell ref="A6:B6"/>
    <mergeCell ref="A17:B17"/>
    <mergeCell ref="A23:B23"/>
    <mergeCell ref="A31:B31"/>
    <mergeCell ref="A35:B35"/>
    <mergeCell ref="A39:B39"/>
    <mergeCell ref="A40:B40"/>
    <mergeCell ref="A41:B41"/>
    <mergeCell ref="A46:B46"/>
    <mergeCell ref="A49:D49"/>
    <mergeCell ref="E49:F49"/>
    <mergeCell ref="A51:D51"/>
    <mergeCell ref="E51:F51"/>
  </mergeCells>
  <pageMargins left="0.7" right="0.7" top="0.75" bottom="0.75" header="0.3" footer="0.3"/>
  <pageSetup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1C077-8ECD-4A07-B9F7-5F35582E3C38}">
  <dimension ref="A1:R54"/>
  <sheetViews>
    <sheetView topLeftCell="A5" zoomScale="120" zoomScaleNormal="120" workbookViewId="0">
      <selection activeCell="D43" sqref="D43"/>
    </sheetView>
  </sheetViews>
  <sheetFormatPr defaultColWidth="9.140625" defaultRowHeight="11.25" x14ac:dyDescent="0.2"/>
  <cols>
    <col min="1" max="1" width="10.7109375" style="372" customWidth="1"/>
    <col min="2" max="2" width="28.140625" style="372" customWidth="1"/>
    <col min="3" max="3" width="10.5703125" style="372" customWidth="1"/>
    <col min="4" max="4" width="9.42578125" style="372" customWidth="1"/>
    <col min="5" max="5" width="9.140625" style="372"/>
    <col min="6" max="6" width="10.28515625" style="372" customWidth="1"/>
    <col min="7" max="7" width="8.85546875" style="372" customWidth="1"/>
    <col min="8" max="8" width="35.85546875" style="372" bestFit="1" customWidth="1"/>
    <col min="9" max="9" width="14.7109375" style="372" customWidth="1"/>
    <col min="10" max="10" width="14.5703125" style="372" customWidth="1"/>
    <col min="11" max="11" width="11.28515625" style="372" customWidth="1"/>
    <col min="12" max="15" width="9.140625" style="372"/>
    <col min="16" max="16" width="13" style="372" customWidth="1"/>
    <col min="17" max="16384" width="9.140625" style="372"/>
  </cols>
  <sheetData>
    <row r="1" spans="1:18" hidden="1" x14ac:dyDescent="0.2"/>
    <row r="2" spans="1:18" x14ac:dyDescent="0.2">
      <c r="A2" s="786" t="s">
        <v>0</v>
      </c>
      <c r="B2" s="786"/>
      <c r="C2" s="786"/>
      <c r="D2" s="786"/>
      <c r="E2" s="786"/>
      <c r="F2" s="786"/>
      <c r="G2" s="786"/>
      <c r="H2" s="374"/>
    </row>
    <row r="3" spans="1:18" x14ac:dyDescent="0.2">
      <c r="A3" s="787" t="s">
        <v>92</v>
      </c>
      <c r="B3" s="787"/>
      <c r="C3" s="787"/>
      <c r="D3" s="787"/>
      <c r="E3" s="787"/>
      <c r="F3" s="787"/>
      <c r="G3" s="787"/>
      <c r="H3" s="375"/>
    </row>
    <row r="4" spans="1:18" ht="12" thickBot="1" x14ac:dyDescent="0.25">
      <c r="B4" s="265" t="s">
        <v>37</v>
      </c>
      <c r="F4" s="266"/>
      <c r="I4" s="267"/>
    </row>
    <row r="5" spans="1:18" x14ac:dyDescent="0.2">
      <c r="A5" s="788" t="s">
        <v>1</v>
      </c>
      <c r="B5" s="789"/>
      <c r="C5" s="268" t="s">
        <v>2</v>
      </c>
      <c r="D5" s="268" t="s">
        <v>3</v>
      </c>
      <c r="E5" s="268" t="s">
        <v>58</v>
      </c>
      <c r="F5" s="268" t="s">
        <v>5</v>
      </c>
      <c r="G5" s="268" t="s">
        <v>6</v>
      </c>
      <c r="H5" s="269"/>
      <c r="I5" s="269"/>
    </row>
    <row r="6" spans="1:18" x14ac:dyDescent="0.2">
      <c r="A6" s="790" t="s">
        <v>7</v>
      </c>
      <c r="B6" s="791"/>
      <c r="C6" s="270">
        <f>SUM(C7:C16)</f>
        <v>149593.60999999996</v>
      </c>
      <c r="D6" s="271">
        <f>SUM(D7:D16)</f>
        <v>676.99</v>
      </c>
      <c r="E6" s="271">
        <f>SUM(E7:E16)</f>
        <v>-6902.4299999999994</v>
      </c>
      <c r="F6" s="271">
        <f>SUM(F7:F16)</f>
        <v>157173.02999999997</v>
      </c>
      <c r="G6" s="272">
        <f>SUM(G7:G15)</f>
        <v>600</v>
      </c>
      <c r="H6" s="273"/>
      <c r="I6" s="273"/>
      <c r="J6" s="273"/>
      <c r="K6" s="373"/>
      <c r="P6" s="373"/>
      <c r="R6" s="373"/>
    </row>
    <row r="7" spans="1:18" ht="12" customHeight="1" x14ac:dyDescent="0.2">
      <c r="A7" s="275"/>
      <c r="B7" s="276" t="s">
        <v>23</v>
      </c>
      <c r="C7" s="277">
        <f>'April 2021'!F7</f>
        <v>146222.96999999997</v>
      </c>
      <c r="D7" s="278">
        <f>106.84+37.42</f>
        <v>144.26</v>
      </c>
      <c r="E7" s="278">
        <f>1000+598.32+200+1754.93+169.87+155.35+297.76-20873.71</f>
        <v>-16697.48</v>
      </c>
      <c r="F7" s="279">
        <f>C7+D7-E7</f>
        <v>163064.71</v>
      </c>
      <c r="G7" s="280"/>
      <c r="H7" s="281"/>
      <c r="I7" s="373"/>
    </row>
    <row r="8" spans="1:18" x14ac:dyDescent="0.2">
      <c r="A8" s="282"/>
      <c r="B8" s="283" t="s">
        <v>62</v>
      </c>
      <c r="C8" s="277">
        <f>'April 2021'!F8</f>
        <v>-1195.3799999999997</v>
      </c>
      <c r="D8" s="284"/>
      <c r="E8" s="285">
        <f>1548.07+116.51</f>
        <v>1664.58</v>
      </c>
      <c r="F8" s="286">
        <f t="shared" ref="F8:F16" si="0">C8+D8-E8</f>
        <v>-2859.9599999999996</v>
      </c>
      <c r="G8" s="280"/>
      <c r="H8" s="273"/>
      <c r="I8" s="287"/>
    </row>
    <row r="9" spans="1:18" hidden="1" x14ac:dyDescent="0.2">
      <c r="A9" s="282"/>
      <c r="B9" s="288" t="s">
        <v>67</v>
      </c>
      <c r="C9" s="277">
        <f>'April 2021'!F9</f>
        <v>0</v>
      </c>
      <c r="D9" s="284"/>
      <c r="E9" s="284"/>
      <c r="F9" s="279">
        <f t="shared" si="0"/>
        <v>0</v>
      </c>
      <c r="G9" s="280"/>
      <c r="H9" s="273"/>
      <c r="I9" s="289"/>
      <c r="J9" s="373"/>
    </row>
    <row r="10" spans="1:18" hidden="1" x14ac:dyDescent="0.2">
      <c r="A10" s="282"/>
      <c r="B10" s="288" t="s">
        <v>41</v>
      </c>
      <c r="C10" s="277">
        <f>'April 2021'!F10</f>
        <v>-1.0000000002037268E-2</v>
      </c>
      <c r="D10" s="290"/>
      <c r="E10" s="290"/>
      <c r="F10" s="286">
        <f t="shared" si="0"/>
        <v>-1.0000000002037268E-2</v>
      </c>
      <c r="G10" s="280"/>
      <c r="H10" s="273"/>
      <c r="I10" s="291"/>
      <c r="J10" s="373"/>
    </row>
    <row r="11" spans="1:18" hidden="1" x14ac:dyDescent="0.2">
      <c r="A11" s="282"/>
      <c r="B11" s="288" t="s">
        <v>29</v>
      </c>
      <c r="C11" s="277">
        <f>'April 2021'!F11</f>
        <v>0</v>
      </c>
      <c r="D11" s="292"/>
      <c r="E11" s="292"/>
      <c r="F11" s="279">
        <f t="shared" si="0"/>
        <v>0</v>
      </c>
      <c r="G11" s="280"/>
      <c r="H11" s="273"/>
      <c r="I11" s="293"/>
    </row>
    <row r="12" spans="1:18" x14ac:dyDescent="0.2">
      <c r="A12" s="282"/>
      <c r="B12" s="288" t="s">
        <v>20</v>
      </c>
      <c r="C12" s="277">
        <f>'April 2021'!F12</f>
        <v>5106.0300000000007</v>
      </c>
      <c r="D12" s="290">
        <f>264.12+235.77</f>
        <v>499.89</v>
      </c>
      <c r="E12" s="294">
        <f>1396.21+5707.27+4+155.35</f>
        <v>7262.8300000000008</v>
      </c>
      <c r="F12" s="295">
        <f>C12+D12-E12</f>
        <v>-1656.9099999999999</v>
      </c>
      <c r="G12" s="280"/>
      <c r="H12" s="273"/>
      <c r="I12" s="373"/>
    </row>
    <row r="13" spans="1:18" x14ac:dyDescent="0.2">
      <c r="A13" s="282"/>
      <c r="B13" s="288" t="s">
        <v>22</v>
      </c>
      <c r="C13" s="277">
        <f>'April 2021'!F13</f>
        <v>134.92999999999995</v>
      </c>
      <c r="D13" s="290">
        <v>32.840000000000003</v>
      </c>
      <c r="E13" s="294"/>
      <c r="F13" s="295">
        <f>C13+D13-E13</f>
        <v>167.76999999999995</v>
      </c>
      <c r="G13" s="280"/>
      <c r="H13" s="273"/>
      <c r="I13" s="373"/>
    </row>
    <row r="14" spans="1:18" x14ac:dyDescent="0.2">
      <c r="A14" s="282"/>
      <c r="B14" s="288" t="s">
        <v>28</v>
      </c>
      <c r="C14" s="277">
        <f>'April 2021'!F14</f>
        <v>-678.2600000000009</v>
      </c>
      <c r="D14" s="294"/>
      <c r="E14" s="290">
        <f>728.48+77.68</f>
        <v>806.16000000000008</v>
      </c>
      <c r="F14" s="286">
        <f t="shared" si="0"/>
        <v>-1484.420000000001</v>
      </c>
      <c r="G14" s="280"/>
      <c r="H14" s="273"/>
      <c r="I14" s="373"/>
    </row>
    <row r="15" spans="1:18" x14ac:dyDescent="0.2">
      <c r="A15" s="282"/>
      <c r="B15" s="296" t="s">
        <v>42</v>
      </c>
      <c r="C15" s="277">
        <f>'April 2021'!F15</f>
        <v>410.04000000000008</v>
      </c>
      <c r="D15" s="284"/>
      <c r="E15" s="284"/>
      <c r="F15" s="297">
        <f t="shared" si="0"/>
        <v>410.04000000000008</v>
      </c>
      <c r="G15" s="280">
        <v>600</v>
      </c>
      <c r="H15" s="273"/>
      <c r="I15" s="373"/>
    </row>
    <row r="16" spans="1:18" x14ac:dyDescent="0.2">
      <c r="A16" s="282"/>
      <c r="B16" s="296" t="s">
        <v>43</v>
      </c>
      <c r="C16" s="277">
        <f>'April 2021'!F16</f>
        <v>-406.71000000000026</v>
      </c>
      <c r="D16" s="284"/>
      <c r="E16" s="284">
        <v>61.48</v>
      </c>
      <c r="F16" s="295">
        <f t="shared" si="0"/>
        <v>-468.19000000000028</v>
      </c>
      <c r="G16" s="280"/>
      <c r="H16" s="273"/>
      <c r="I16" s="273"/>
      <c r="P16" s="373"/>
    </row>
    <row r="17" spans="1:16" x14ac:dyDescent="0.2">
      <c r="A17" s="792" t="s">
        <v>53</v>
      </c>
      <c r="B17" s="793"/>
      <c r="C17" s="298">
        <f>SUM(C18:C22)</f>
        <v>-10923.53</v>
      </c>
      <c r="D17" s="299">
        <f>SUM(D18:D22)</f>
        <v>0</v>
      </c>
      <c r="E17" s="299">
        <f>SUM(E18:E22)</f>
        <v>7557.1899999999987</v>
      </c>
      <c r="F17" s="286">
        <f>SUM(F18:F22)</f>
        <v>-18480.72</v>
      </c>
      <c r="G17" s="300"/>
      <c r="H17" s="273"/>
      <c r="I17" s="273"/>
      <c r="P17" s="373"/>
    </row>
    <row r="18" spans="1:16" x14ac:dyDescent="0.2">
      <c r="A18" s="301"/>
      <c r="B18" s="302" t="s">
        <v>9</v>
      </c>
      <c r="C18" s="303">
        <f>'April 2021'!F18</f>
        <v>-4238.05</v>
      </c>
      <c r="D18" s="304"/>
      <c r="E18" s="305">
        <v>4335.03</v>
      </c>
      <c r="F18" s="306">
        <f>C18+D18-E18</f>
        <v>-8573.08</v>
      </c>
      <c r="G18" s="284">
        <v>15176</v>
      </c>
      <c r="H18" s="273"/>
      <c r="I18" s="373"/>
      <c r="J18" s="79"/>
    </row>
    <row r="19" spans="1:16" x14ac:dyDescent="0.2">
      <c r="A19" s="282"/>
      <c r="B19" s="307" t="s">
        <v>8</v>
      </c>
      <c r="C19" s="303">
        <f>'April 2021'!F19</f>
        <v>-799.69</v>
      </c>
      <c r="D19" s="294"/>
      <c r="E19" s="290">
        <f>1.07+1535.71+38.84</f>
        <v>1575.62</v>
      </c>
      <c r="F19" s="306">
        <f>C19+D19-E19</f>
        <v>-2375.31</v>
      </c>
      <c r="G19" s="308"/>
      <c r="H19" s="273"/>
      <c r="I19" s="373"/>
    </row>
    <row r="20" spans="1:16" x14ac:dyDescent="0.2">
      <c r="A20" s="282"/>
      <c r="B20" s="307" t="s">
        <v>32</v>
      </c>
      <c r="C20" s="303">
        <f>'April 2021'!F20</f>
        <v>-2420.1000000000004</v>
      </c>
      <c r="D20" s="294"/>
      <c r="E20" s="290">
        <v>484.94</v>
      </c>
      <c r="F20" s="306">
        <f t="shared" ref="F20:F22" si="1">C20+D20-E20</f>
        <v>-2905.0400000000004</v>
      </c>
      <c r="G20" s="309">
        <v>5000</v>
      </c>
      <c r="H20" s="273"/>
      <c r="I20" s="373"/>
    </row>
    <row r="21" spans="1:16" hidden="1" x14ac:dyDescent="0.2">
      <c r="A21" s="282"/>
      <c r="B21" s="307" t="s">
        <v>67</v>
      </c>
      <c r="C21" s="303">
        <f>'April 2021'!F21</f>
        <v>-9.0951551845463996E-15</v>
      </c>
      <c r="D21" s="294"/>
      <c r="E21" s="294"/>
      <c r="F21" s="306">
        <f t="shared" si="1"/>
        <v>-9.0951551845463996E-15</v>
      </c>
      <c r="G21" s="309"/>
      <c r="H21" s="273"/>
      <c r="I21" s="373"/>
    </row>
    <row r="22" spans="1:16" x14ac:dyDescent="0.2">
      <c r="A22" s="310"/>
      <c r="B22" s="311" t="s">
        <v>38</v>
      </c>
      <c r="C22" s="303">
        <f>'April 2021'!F22</f>
        <v>-3465.69</v>
      </c>
      <c r="D22" s="312"/>
      <c r="E22" s="305">
        <f>1058.04+103.56</f>
        <v>1161.5999999999999</v>
      </c>
      <c r="F22" s="306">
        <f t="shared" si="1"/>
        <v>-4627.29</v>
      </c>
      <c r="G22" s="284">
        <v>8500</v>
      </c>
      <c r="H22" s="273"/>
      <c r="I22" s="373"/>
      <c r="J22" s="79"/>
    </row>
    <row r="23" spans="1:16" x14ac:dyDescent="0.2">
      <c r="A23" s="790" t="s">
        <v>10</v>
      </c>
      <c r="B23" s="791"/>
      <c r="C23" s="298">
        <f>SUM(C24:C30)</f>
        <v>301109.09999999998</v>
      </c>
      <c r="D23" s="313">
        <f>SUM(D24:D30)</f>
        <v>0</v>
      </c>
      <c r="E23" s="314">
        <f>SUM(E24:E30)</f>
        <v>10947.31</v>
      </c>
      <c r="F23" s="314">
        <f>SUM(F24:F30)</f>
        <v>290161.79000000004</v>
      </c>
      <c r="G23" s="315">
        <f>SUM(G30:G34)</f>
        <v>70450</v>
      </c>
      <c r="H23" s="273"/>
      <c r="I23" s="273"/>
      <c r="P23" s="373"/>
    </row>
    <row r="24" spans="1:16" hidden="1" x14ac:dyDescent="0.2">
      <c r="A24" s="301"/>
      <c r="B24" s="316" t="s">
        <v>55</v>
      </c>
      <c r="C24" s="303">
        <f>'February 2021'!G24</f>
        <v>0</v>
      </c>
      <c r="D24" s="317"/>
      <c r="E24" s="304"/>
      <c r="F24" s="318">
        <f>C24+D24-E24</f>
        <v>0</v>
      </c>
      <c r="G24" s="278"/>
      <c r="H24" s="273"/>
      <c r="I24" s="373"/>
      <c r="J24" s="319"/>
    </row>
    <row r="25" spans="1:16" x14ac:dyDescent="0.2">
      <c r="A25" s="310"/>
      <c r="B25" s="296" t="s">
        <v>70</v>
      </c>
      <c r="C25" s="303">
        <f>'April 2021'!F25</f>
        <v>18710</v>
      </c>
      <c r="D25" s="312"/>
      <c r="E25" s="312"/>
      <c r="F25" s="318">
        <f>C25+D25-E25</f>
        <v>18710</v>
      </c>
      <c r="G25" s="284"/>
      <c r="H25" s="273"/>
      <c r="I25" s="373"/>
      <c r="J25" s="319"/>
    </row>
    <row r="26" spans="1:16" hidden="1" x14ac:dyDescent="0.2">
      <c r="A26" s="275"/>
      <c r="B26" s="320" t="s">
        <v>34</v>
      </c>
      <c r="C26" s="303">
        <f>'April 2021'!F26</f>
        <v>5.4569682106375694E-12</v>
      </c>
      <c r="D26" s="305"/>
      <c r="E26" s="321"/>
      <c r="F26" s="318">
        <f t="shared" ref="F26:F30" si="2">C26+D26-E26</f>
        <v>5.4569682106375694E-12</v>
      </c>
      <c r="G26" s="284"/>
      <c r="H26" s="273"/>
      <c r="I26" s="373"/>
      <c r="J26" s="373"/>
    </row>
    <row r="27" spans="1:16" x14ac:dyDescent="0.2">
      <c r="A27" s="275"/>
      <c r="B27" s="320" t="s">
        <v>39</v>
      </c>
      <c r="C27" s="303">
        <f>'April 2021'!F27</f>
        <v>13415.100000000008</v>
      </c>
      <c r="D27" s="312"/>
      <c r="E27" s="305">
        <f>10688.4+258.91</f>
        <v>10947.31</v>
      </c>
      <c r="F27" s="318">
        <f t="shared" si="2"/>
        <v>2467.7900000000081</v>
      </c>
      <c r="G27" s="284"/>
      <c r="H27" s="273"/>
      <c r="I27" s="373"/>
      <c r="J27" s="373"/>
    </row>
    <row r="28" spans="1:16" x14ac:dyDescent="0.2">
      <c r="A28" s="275"/>
      <c r="B28" s="320" t="s">
        <v>65</v>
      </c>
      <c r="C28" s="303">
        <f>'April 2021'!F28</f>
        <v>134492</v>
      </c>
      <c r="D28" s="312"/>
      <c r="E28" s="312"/>
      <c r="F28" s="318">
        <f t="shared" si="2"/>
        <v>134492</v>
      </c>
      <c r="G28" s="284"/>
      <c r="H28" s="273"/>
      <c r="I28" s="373"/>
      <c r="J28" s="373"/>
    </row>
    <row r="29" spans="1:16" x14ac:dyDescent="0.2">
      <c r="A29" s="275"/>
      <c r="B29" s="320" t="s">
        <v>86</v>
      </c>
      <c r="C29" s="303">
        <f>'April 2021'!F29</f>
        <v>134492</v>
      </c>
      <c r="D29" s="312"/>
      <c r="E29" s="312"/>
      <c r="F29" s="318">
        <f t="shared" si="2"/>
        <v>134492</v>
      </c>
      <c r="G29" s="284"/>
      <c r="H29" s="273"/>
      <c r="I29" s="373"/>
      <c r="J29" s="373"/>
    </row>
    <row r="30" spans="1:16" x14ac:dyDescent="0.2">
      <c r="A30" s="310"/>
      <c r="B30" s="296" t="s">
        <v>44</v>
      </c>
      <c r="C30" s="303">
        <f>'April 2021'!F30</f>
        <v>1.4210854715202004E-14</v>
      </c>
      <c r="D30" s="312"/>
      <c r="E30" s="305"/>
      <c r="F30" s="318">
        <f t="shared" si="2"/>
        <v>1.4210854715202004E-14</v>
      </c>
      <c r="G30" s="284">
        <v>450</v>
      </c>
      <c r="H30" s="273"/>
      <c r="I30" s="373"/>
      <c r="J30" s="319"/>
    </row>
    <row r="31" spans="1:16" x14ac:dyDescent="0.2">
      <c r="A31" s="790" t="s">
        <v>35</v>
      </c>
      <c r="B31" s="791"/>
      <c r="C31" s="298">
        <f>SUM(C32:C34)</f>
        <v>75668.179999999993</v>
      </c>
      <c r="D31" s="313">
        <f>SUM(D32:D34)</f>
        <v>0</v>
      </c>
      <c r="E31" s="314">
        <f>SUM(E32:E34)</f>
        <v>2178.9300000000003</v>
      </c>
      <c r="F31" s="314">
        <f>SUM(F32:F34)</f>
        <v>73489.25</v>
      </c>
      <c r="G31" s="315">
        <f>SUM(G32:G34)</f>
        <v>35000</v>
      </c>
      <c r="H31" s="273"/>
      <c r="I31" s="273"/>
      <c r="P31" s="373"/>
    </row>
    <row r="32" spans="1:16" x14ac:dyDescent="0.2">
      <c r="A32" s="310"/>
      <c r="B32" s="296" t="s">
        <v>78</v>
      </c>
      <c r="C32" s="303">
        <f>'April 2021'!F32</f>
        <v>19214.48</v>
      </c>
      <c r="D32" s="322"/>
      <c r="E32" s="323"/>
      <c r="F32" s="324">
        <f t="shared" ref="F32:F33" si="3">C32+D32-E32</f>
        <v>19214.48</v>
      </c>
      <c r="G32" s="284"/>
      <c r="H32" s="273"/>
      <c r="I32" s="373"/>
      <c r="J32" s="319"/>
    </row>
    <row r="33" spans="1:16" x14ac:dyDescent="0.2">
      <c r="A33" s="310"/>
      <c r="B33" s="296" t="s">
        <v>90</v>
      </c>
      <c r="C33" s="303">
        <f>'April 2021'!F33</f>
        <v>33024.94</v>
      </c>
      <c r="D33" s="322"/>
      <c r="E33" s="323">
        <f>2064.73+38.84</f>
        <v>2103.5700000000002</v>
      </c>
      <c r="F33" s="324">
        <f t="shared" si="3"/>
        <v>30921.370000000003</v>
      </c>
      <c r="G33" s="284">
        <v>35000</v>
      </c>
      <c r="H33" s="273"/>
      <c r="I33" s="373"/>
      <c r="J33" s="319"/>
    </row>
    <row r="34" spans="1:16" ht="12" thickBot="1" x14ac:dyDescent="0.25">
      <c r="A34" s="310"/>
      <c r="B34" s="325" t="s">
        <v>77</v>
      </c>
      <c r="C34" s="303">
        <f>'April 2021'!F34</f>
        <v>23428.759999999995</v>
      </c>
      <c r="D34" s="322"/>
      <c r="E34" s="305">
        <v>75.36</v>
      </c>
      <c r="F34" s="324">
        <f>C34+D34-E34</f>
        <v>23353.399999999994</v>
      </c>
      <c r="G34" s="284"/>
      <c r="H34" s="273"/>
      <c r="I34" s="293"/>
      <c r="J34" s="266"/>
      <c r="P34" s="326"/>
    </row>
    <row r="35" spans="1:16" ht="12" thickBot="1" x14ac:dyDescent="0.25">
      <c r="A35" s="794" t="s">
        <v>11</v>
      </c>
      <c r="B35" s="795"/>
      <c r="C35" s="327">
        <f>C6+C17+C23+C31-324.97</f>
        <v>515122.38999999996</v>
      </c>
      <c r="D35" s="328">
        <f>SUM(D23,D17,D6,D31)</f>
        <v>676.99</v>
      </c>
      <c r="E35" s="328">
        <f>SUM(E23,E17,E6,E31)</f>
        <v>13781</v>
      </c>
      <c r="F35" s="329">
        <f>SUM(F23,F17,F6,F31)</f>
        <v>502343.35000000003</v>
      </c>
      <c r="G35" s="330">
        <f>SUM(G6,G16,G23,G31)</f>
        <v>106050</v>
      </c>
      <c r="H35" s="373"/>
      <c r="I35" s="373"/>
      <c r="J35" s="331"/>
    </row>
    <row r="36" spans="1:16" hidden="1" x14ac:dyDescent="0.2">
      <c r="A36" s="376"/>
      <c r="B36" s="371"/>
      <c r="C36" s="373">
        <f>SUM(C17:C22)</f>
        <v>-21847.06</v>
      </c>
      <c r="D36" s="373"/>
      <c r="E36" s="373"/>
      <c r="F36" s="373"/>
      <c r="G36" s="334"/>
      <c r="H36" s="373"/>
      <c r="K36" s="372" t="s">
        <v>12</v>
      </c>
      <c r="L36" s="372">
        <v>42.43</v>
      </c>
    </row>
    <row r="37" spans="1:16" ht="12" hidden="1" thickBot="1" x14ac:dyDescent="0.25">
      <c r="A37" s="335" t="s">
        <v>25</v>
      </c>
      <c r="B37" s="336"/>
      <c r="C37" s="337" t="e">
        <f>SUM(C35,#REF!)</f>
        <v>#REF!</v>
      </c>
      <c r="D37" s="338" t="e">
        <f>SUM(D35,#REF!)</f>
        <v>#REF!</v>
      </c>
      <c r="E37" s="338" t="e">
        <f>SUM(E35,#REF!)</f>
        <v>#REF!</v>
      </c>
      <c r="F37" s="339" t="e">
        <f>SUM(F35,#REF!)</f>
        <v>#REF!</v>
      </c>
      <c r="G37" s="334"/>
      <c r="H37" s="373"/>
      <c r="I37" s="331"/>
      <c r="J37" s="79">
        <v>206730.35</v>
      </c>
    </row>
    <row r="38" spans="1:16" ht="12" thickBot="1" x14ac:dyDescent="0.25">
      <c r="B38" s="340"/>
      <c r="C38" s="373"/>
      <c r="D38" s="373"/>
      <c r="E38" s="373"/>
      <c r="F38" s="373"/>
      <c r="G38" s="334"/>
      <c r="H38" s="341"/>
      <c r="I38" s="331"/>
      <c r="J38" s="79"/>
      <c r="P38" s="373"/>
    </row>
    <row r="39" spans="1:16" ht="12" thickBot="1" x14ac:dyDescent="0.25">
      <c r="A39" s="796" t="s">
        <v>13</v>
      </c>
      <c r="B39" s="797"/>
      <c r="C39" s="342" t="s">
        <v>2</v>
      </c>
      <c r="D39" s="342" t="s">
        <v>3</v>
      </c>
      <c r="E39" s="342" t="s">
        <v>27</v>
      </c>
      <c r="F39" s="342" t="s">
        <v>5</v>
      </c>
      <c r="G39" s="269"/>
      <c r="H39" s="331"/>
      <c r="I39" s="343"/>
    </row>
    <row r="40" spans="1:16" ht="12" thickBot="1" x14ac:dyDescent="0.25">
      <c r="A40" s="784" t="s">
        <v>14</v>
      </c>
      <c r="B40" s="785"/>
      <c r="C40" s="344">
        <f>'April 2021'!F40</f>
        <v>203.17000000000002</v>
      </c>
      <c r="D40" s="345"/>
      <c r="E40" s="345">
        <v>9.07</v>
      </c>
      <c r="F40" s="346">
        <f>C40+D40-E40</f>
        <v>194.10000000000002</v>
      </c>
      <c r="G40" s="373"/>
      <c r="I40" s="331"/>
      <c r="J40" s="79"/>
    </row>
    <row r="41" spans="1:16" ht="12" thickBot="1" x14ac:dyDescent="0.25">
      <c r="A41" s="798" t="s">
        <v>15</v>
      </c>
      <c r="B41" s="799"/>
      <c r="C41" s="344">
        <f>'April 2021'!F41</f>
        <v>26726.370000000003</v>
      </c>
      <c r="D41" s="347"/>
      <c r="E41" s="347">
        <v>20965.8</v>
      </c>
      <c r="F41" s="346">
        <f t="shared" ref="F41:F46" si="4">C41+D41-E41</f>
        <v>5760.5700000000033</v>
      </c>
      <c r="G41" s="373"/>
      <c r="H41" s="349"/>
      <c r="I41" s="331"/>
    </row>
    <row r="42" spans="1:16" ht="12" thickBot="1" x14ac:dyDescent="0.25">
      <c r="A42" s="350"/>
      <c r="B42" s="351" t="s">
        <v>21</v>
      </c>
      <c r="C42" s="344">
        <f>'April 2021'!F42</f>
        <v>0</v>
      </c>
      <c r="D42" s="352"/>
      <c r="E42" s="352"/>
      <c r="F42" s="346">
        <f t="shared" si="4"/>
        <v>0</v>
      </c>
      <c r="G42" s="373"/>
      <c r="H42" s="349"/>
      <c r="I42" s="79"/>
    </row>
    <row r="43" spans="1:16" ht="12" thickBot="1" x14ac:dyDescent="0.25">
      <c r="A43" s="350"/>
      <c r="B43" s="351" t="s">
        <v>40</v>
      </c>
      <c r="C43" s="344">
        <f>'April 2021'!F43</f>
        <v>-2455.9500000000007</v>
      </c>
      <c r="D43" s="353">
        <v>1954.47</v>
      </c>
      <c r="E43" s="353">
        <v>355.14</v>
      </c>
      <c r="F43" s="346">
        <f t="shared" si="4"/>
        <v>-856.62000000000069</v>
      </c>
      <c r="G43" s="373"/>
      <c r="H43" s="79"/>
      <c r="I43" s="79"/>
    </row>
    <row r="44" spans="1:16" ht="12" thickBot="1" x14ac:dyDescent="0.25">
      <c r="A44" s="784" t="s">
        <v>16</v>
      </c>
      <c r="B44" s="785"/>
      <c r="C44" s="344">
        <f>'April 2021'!F44</f>
        <v>244123.53000000009</v>
      </c>
      <c r="D44" s="355">
        <v>7221.02</v>
      </c>
      <c r="E44" s="355"/>
      <c r="F44" s="346">
        <f t="shared" si="4"/>
        <v>251344.55000000008</v>
      </c>
      <c r="G44" s="373"/>
      <c r="H44" s="79"/>
      <c r="I44" s="79"/>
    </row>
    <row r="45" spans="1:16" ht="12" thickBot="1" x14ac:dyDescent="0.25">
      <c r="A45" s="357" t="s">
        <v>46</v>
      </c>
      <c r="B45" s="358"/>
      <c r="C45" s="344">
        <f>'April 2021'!F45</f>
        <v>246524.95999999996</v>
      </c>
      <c r="D45" s="322">
        <v>50.54</v>
      </c>
      <c r="E45" s="322">
        <v>1000</v>
      </c>
      <c r="F45" s="346">
        <f t="shared" si="4"/>
        <v>245575.49999999997</v>
      </c>
      <c r="G45" s="373"/>
      <c r="H45" s="79"/>
      <c r="I45" s="79"/>
    </row>
    <row r="46" spans="1:16" ht="12" thickBot="1" x14ac:dyDescent="0.25">
      <c r="A46" s="800"/>
      <c r="B46" s="795"/>
      <c r="C46" s="360">
        <f>SUM(C40+C41+C44+C45+C43+C42)</f>
        <v>515122.08</v>
      </c>
      <c r="D46" s="361">
        <f>SUM(D40:D45)</f>
        <v>9226.0300000000007</v>
      </c>
      <c r="E46" s="361">
        <f>SUM(E40:E45)</f>
        <v>22330.01</v>
      </c>
      <c r="F46" s="346">
        <f t="shared" si="4"/>
        <v>502018.1</v>
      </c>
      <c r="G46" s="373"/>
      <c r="H46" s="331"/>
      <c r="I46" s="79"/>
      <c r="J46" s="266"/>
    </row>
    <row r="47" spans="1:16" x14ac:dyDescent="0.2">
      <c r="A47" s="376"/>
      <c r="B47" s="371"/>
      <c r="C47" s="373">
        <f>C35-C46</f>
        <v>0.30999999993946403</v>
      </c>
      <c r="D47" s="373"/>
      <c r="E47" s="373"/>
      <c r="F47" s="373">
        <f>F35-F46-324.97</f>
        <v>0.28000000005818038</v>
      </c>
      <c r="H47" s="373"/>
      <c r="I47" s="331"/>
      <c r="J47" s="331"/>
      <c r="K47" s="266"/>
    </row>
    <row r="48" spans="1:16" x14ac:dyDescent="0.2">
      <c r="B48" s="340"/>
      <c r="C48" s="373"/>
      <c r="D48" s="373"/>
      <c r="E48" s="373"/>
      <c r="F48" s="373"/>
      <c r="G48" s="373"/>
      <c r="H48" s="373"/>
      <c r="I48" s="331"/>
    </row>
    <row r="49" spans="1:16" x14ac:dyDescent="0.2">
      <c r="A49" s="801" t="s">
        <v>17</v>
      </c>
      <c r="B49" s="801"/>
      <c r="C49" s="801"/>
      <c r="D49" s="801"/>
      <c r="E49" s="802" t="s">
        <v>18</v>
      </c>
      <c r="F49" s="802"/>
      <c r="G49" s="373"/>
      <c r="H49" s="373"/>
      <c r="J49" s="331"/>
    </row>
    <row r="50" spans="1:16" x14ac:dyDescent="0.2">
      <c r="C50" s="373"/>
      <c r="D50" s="373"/>
      <c r="E50" s="373"/>
      <c r="F50" s="373"/>
      <c r="G50" s="373"/>
      <c r="H50" s="373"/>
    </row>
    <row r="51" spans="1:16" x14ac:dyDescent="0.2">
      <c r="A51" s="801" t="s">
        <v>19</v>
      </c>
      <c r="B51" s="801"/>
      <c r="C51" s="801"/>
      <c r="D51" s="801"/>
      <c r="E51" s="802" t="s">
        <v>18</v>
      </c>
      <c r="F51" s="802"/>
      <c r="G51" s="373"/>
      <c r="H51" s="373"/>
    </row>
    <row r="52" spans="1:16" x14ac:dyDescent="0.2">
      <c r="A52" s="376"/>
      <c r="B52" s="371"/>
      <c r="C52" s="266"/>
      <c r="D52" s="266"/>
      <c r="E52" s="266"/>
      <c r="F52" s="79"/>
      <c r="G52" s="266"/>
      <c r="H52" s="266"/>
      <c r="I52" s="331"/>
      <c r="J52" s="79"/>
      <c r="P52" s="364"/>
    </row>
    <row r="53" spans="1:16" x14ac:dyDescent="0.2">
      <c r="B53" s="340"/>
      <c r="C53" s="331"/>
      <c r="D53" s="331"/>
      <c r="E53" s="331"/>
      <c r="F53" s="331"/>
      <c r="I53" s="331"/>
      <c r="J53" s="343"/>
      <c r="L53" s="266"/>
      <c r="P53" s="364"/>
    </row>
    <row r="54" spans="1:16" x14ac:dyDescent="0.2">
      <c r="B54" s="340"/>
      <c r="C54" s="79"/>
      <c r="D54" s="331"/>
      <c r="F54" s="331"/>
      <c r="J54" s="331"/>
    </row>
  </sheetData>
  <mergeCells count="17">
    <mergeCell ref="A46:B46"/>
    <mergeCell ref="A49:D49"/>
    <mergeCell ref="E49:F49"/>
    <mergeCell ref="A51:D51"/>
    <mergeCell ref="E51:F51"/>
    <mergeCell ref="A44:B44"/>
    <mergeCell ref="A2:G2"/>
    <mergeCell ref="A3:G3"/>
    <mergeCell ref="A5:B5"/>
    <mergeCell ref="A6:B6"/>
    <mergeCell ref="A17:B17"/>
    <mergeCell ref="A23:B23"/>
    <mergeCell ref="A31:B31"/>
    <mergeCell ref="A35:B35"/>
    <mergeCell ref="A39:B39"/>
    <mergeCell ref="A40:B40"/>
    <mergeCell ref="A41:B41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2"/>
  <sheetViews>
    <sheetView topLeftCell="A2" workbookViewId="0">
      <selection activeCell="F7" sqref="F7"/>
    </sheetView>
  </sheetViews>
  <sheetFormatPr defaultColWidth="9.140625" defaultRowHeight="15" x14ac:dyDescent="0.25"/>
  <cols>
    <col min="1" max="1" width="9.140625" customWidth="1"/>
    <col min="2" max="2" width="5.7109375" customWidth="1"/>
    <col min="3" max="3" width="33.85546875" bestFit="1" customWidth="1"/>
    <col min="4" max="4" width="13.85546875" customWidth="1"/>
    <col min="5" max="5" width="12.5703125" customWidth="1"/>
    <col min="6" max="6" width="15.28515625" customWidth="1"/>
    <col min="7" max="9" width="12.5703125" customWidth="1"/>
    <col min="10" max="10" width="15.85546875" bestFit="1" customWidth="1"/>
    <col min="11" max="11" width="14.5703125" customWidth="1"/>
    <col min="12" max="12" width="11.28515625" customWidth="1"/>
    <col min="17" max="17" width="13" customWidth="1"/>
  </cols>
  <sheetData>
    <row r="1" spans="1:19" hidden="1" x14ac:dyDescent="0.25"/>
    <row r="2" spans="1:19" ht="21" x14ac:dyDescent="0.35">
      <c r="B2" s="771" t="s">
        <v>0</v>
      </c>
      <c r="C2" s="771"/>
      <c r="D2" s="771"/>
      <c r="E2" s="771"/>
      <c r="F2" s="771"/>
      <c r="G2" s="771"/>
      <c r="H2" s="771"/>
      <c r="I2" s="82"/>
    </row>
    <row r="3" spans="1:19" ht="18.75" x14ac:dyDescent="0.3">
      <c r="B3" s="772" t="s">
        <v>50</v>
      </c>
      <c r="C3" s="772"/>
      <c r="D3" s="772"/>
      <c r="E3" s="772"/>
      <c r="F3" s="772"/>
      <c r="G3" s="772"/>
      <c r="H3" s="772"/>
      <c r="I3" s="83"/>
    </row>
    <row r="4" spans="1:19" ht="15.75" thickBot="1" x14ac:dyDescent="0.3">
      <c r="B4" s="1"/>
      <c r="C4" s="51" t="s">
        <v>37</v>
      </c>
      <c r="D4" s="1"/>
      <c r="E4" s="1"/>
      <c r="F4" s="1"/>
      <c r="G4" s="2"/>
      <c r="J4" s="88"/>
    </row>
    <row r="5" spans="1:19" x14ac:dyDescent="0.25">
      <c r="B5" s="773" t="s">
        <v>1</v>
      </c>
      <c r="C5" s="774"/>
      <c r="D5" s="24" t="s">
        <v>2</v>
      </c>
      <c r="E5" s="24" t="s">
        <v>3</v>
      </c>
      <c r="F5" s="24" t="s">
        <v>4</v>
      </c>
      <c r="G5" s="24" t="s">
        <v>5</v>
      </c>
      <c r="H5" s="24" t="s">
        <v>6</v>
      </c>
      <c r="I5" s="50"/>
      <c r="J5" s="50"/>
    </row>
    <row r="6" spans="1:19" x14ac:dyDescent="0.25">
      <c r="B6" s="775" t="s">
        <v>7</v>
      </c>
      <c r="C6" s="776"/>
      <c r="D6" s="25">
        <f>SUM(D7:D16)</f>
        <v>133988.90000000002</v>
      </c>
      <c r="E6" s="62">
        <f>SUM(E7:E16)</f>
        <v>147.65</v>
      </c>
      <c r="F6" s="62">
        <f>SUM(F7:F16)</f>
        <v>10416.61</v>
      </c>
      <c r="G6" s="62">
        <f>SUM(G7:G16)</f>
        <v>123719.94000000005</v>
      </c>
      <c r="H6" s="63">
        <f>SUM(H7:H15)</f>
        <v>0</v>
      </c>
      <c r="I6" s="73"/>
      <c r="J6" s="73"/>
      <c r="K6" s="72"/>
      <c r="L6" s="23"/>
      <c r="Q6" s="23"/>
      <c r="S6" s="23"/>
    </row>
    <row r="7" spans="1:19" x14ac:dyDescent="0.25">
      <c r="B7" s="11"/>
      <c r="C7" s="22" t="s">
        <v>23</v>
      </c>
      <c r="D7" s="39">
        <f>[1]November!G7+364.14</f>
        <v>136103.38000000003</v>
      </c>
      <c r="E7" s="67">
        <v>147.65</v>
      </c>
      <c r="F7" s="67">
        <f>-3231.47+4330.15+7210.35+489.5</f>
        <v>8798.5300000000007</v>
      </c>
      <c r="G7" s="89">
        <f>D7+E7-F7-545.91-780.51-487.31+991.22</f>
        <v>126629.99000000003</v>
      </c>
      <c r="H7" s="75"/>
      <c r="I7" s="73"/>
      <c r="J7" s="23"/>
    </row>
    <row r="8" spans="1:19" x14ac:dyDescent="0.25">
      <c r="B8" s="12"/>
      <c r="C8" s="52" t="s">
        <v>30</v>
      </c>
      <c r="D8" s="90">
        <f>[1]November!G8</f>
        <v>-545.91</v>
      </c>
      <c r="E8" s="27"/>
      <c r="F8" s="27"/>
      <c r="G8" s="91">
        <v>0</v>
      </c>
      <c r="H8" s="92"/>
      <c r="I8" s="73"/>
      <c r="J8" s="71" t="s">
        <v>51</v>
      </c>
      <c r="K8" t="s">
        <v>52</v>
      </c>
    </row>
    <row r="9" spans="1:19" x14ac:dyDescent="0.25">
      <c r="B9" s="12"/>
      <c r="C9" s="53" t="s">
        <v>31</v>
      </c>
      <c r="D9" s="90">
        <f>[1]November!G9</f>
        <v>-780.5099999999984</v>
      </c>
      <c r="E9" s="27"/>
      <c r="F9" s="27"/>
      <c r="G9" s="91">
        <v>0</v>
      </c>
      <c r="H9" s="92"/>
      <c r="I9" s="73"/>
      <c r="J9" s="71">
        <v>3231.47</v>
      </c>
      <c r="K9" s="23"/>
    </row>
    <row r="10" spans="1:19" x14ac:dyDescent="0.25">
      <c r="B10" s="12"/>
      <c r="C10" s="53" t="s">
        <v>41</v>
      </c>
      <c r="D10" s="90">
        <f>[1]November!G10</f>
        <v>-680.36000000000013</v>
      </c>
      <c r="E10" s="27"/>
      <c r="F10" s="27">
        <v>161.38999999999999</v>
      </c>
      <c r="G10" s="91">
        <f>D10+E10-F10</f>
        <v>-841.75000000000011</v>
      </c>
      <c r="H10" s="76"/>
      <c r="I10" s="73"/>
      <c r="J10" s="93"/>
      <c r="K10" s="23"/>
    </row>
    <row r="11" spans="1:19" x14ac:dyDescent="0.25">
      <c r="B11" s="12"/>
      <c r="C11" s="53" t="s">
        <v>29</v>
      </c>
      <c r="D11" s="90">
        <f>[1]November!G11</f>
        <v>-487.31</v>
      </c>
      <c r="E11" s="70">
        <v>0</v>
      </c>
      <c r="F11" s="70"/>
      <c r="G11" s="91">
        <v>0</v>
      </c>
      <c r="H11" s="92"/>
      <c r="I11" s="73"/>
      <c r="J11" s="93"/>
    </row>
    <row r="12" spans="1:19" x14ac:dyDescent="0.25">
      <c r="B12" s="12"/>
      <c r="C12" s="53" t="s">
        <v>20</v>
      </c>
      <c r="D12" s="90">
        <f>[1]November!G12</f>
        <v>2349.31</v>
      </c>
      <c r="E12" s="27"/>
      <c r="F12" s="27">
        <f>808.25+82.56+255.62</f>
        <v>1146.4299999999998</v>
      </c>
      <c r="G12" s="91">
        <f>D12+E12-F12-991.22</f>
        <v>211.66000000000008</v>
      </c>
      <c r="H12" s="76"/>
      <c r="I12" s="73"/>
      <c r="J12" s="23"/>
    </row>
    <row r="13" spans="1:19" x14ac:dyDescent="0.25">
      <c r="B13" s="12"/>
      <c r="C13" s="53" t="s">
        <v>22</v>
      </c>
      <c r="D13" s="90">
        <f>[1]November!G13</f>
        <v>18.55</v>
      </c>
      <c r="E13" s="27"/>
      <c r="F13" s="27"/>
      <c r="G13" s="91">
        <f>D13+E13-F13</f>
        <v>18.55</v>
      </c>
      <c r="H13" s="76"/>
      <c r="I13" s="73"/>
      <c r="J13" s="23"/>
    </row>
    <row r="14" spans="1:19" x14ac:dyDescent="0.25">
      <c r="B14" s="12"/>
      <c r="C14" s="53" t="s">
        <v>28</v>
      </c>
      <c r="D14" s="90">
        <f>[1]November!G14</f>
        <v>-979.64</v>
      </c>
      <c r="E14" s="27"/>
      <c r="F14" s="27">
        <v>45.76</v>
      </c>
      <c r="G14" s="91">
        <f>D14+E14-F14</f>
        <v>-1025.4000000000001</v>
      </c>
      <c r="H14" s="76"/>
      <c r="I14" s="73"/>
      <c r="J14" s="23"/>
    </row>
    <row r="15" spans="1:19" x14ac:dyDescent="0.25">
      <c r="A15" t="s">
        <v>26</v>
      </c>
      <c r="B15" s="12"/>
      <c r="C15" s="18" t="s">
        <v>42</v>
      </c>
      <c r="D15" s="90">
        <f>[1]November!G15</f>
        <v>194.82000000000002</v>
      </c>
      <c r="E15" s="27"/>
      <c r="F15" s="27">
        <v>160.16</v>
      </c>
      <c r="G15" s="91">
        <f t="shared" ref="G15:G16" si="0">D15+E15-F15</f>
        <v>34.660000000000025</v>
      </c>
      <c r="H15" s="75"/>
      <c r="I15" s="73"/>
      <c r="J15" s="23"/>
    </row>
    <row r="16" spans="1:19" x14ac:dyDescent="0.25">
      <c r="B16" s="12"/>
      <c r="C16" s="18" t="s">
        <v>43</v>
      </c>
      <c r="D16" s="90">
        <f>[1]November!G16</f>
        <v>-1203.4300000000003</v>
      </c>
      <c r="E16" s="27"/>
      <c r="F16" s="27">
        <v>104.34</v>
      </c>
      <c r="G16" s="91">
        <f t="shared" si="0"/>
        <v>-1307.7700000000002</v>
      </c>
      <c r="H16" s="75"/>
      <c r="I16" s="73"/>
      <c r="J16" s="73"/>
      <c r="Q16" s="23"/>
    </row>
    <row r="17" spans="2:17" x14ac:dyDescent="0.25">
      <c r="B17" s="777" t="s">
        <v>53</v>
      </c>
      <c r="C17" s="778"/>
      <c r="D17" s="94">
        <f>[1]November!G17</f>
        <v>-6300.239999999998</v>
      </c>
      <c r="E17" s="95">
        <f>SUM(E18:E21)</f>
        <v>10242.32</v>
      </c>
      <c r="F17" s="95">
        <f>SUM(F18:F21)</f>
        <v>3118.38</v>
      </c>
      <c r="G17" s="96">
        <f>SUM(G21,G20,G19,G18)</f>
        <v>823.69000000000051</v>
      </c>
      <c r="H17" s="97"/>
      <c r="I17" s="73"/>
      <c r="J17" s="73"/>
      <c r="Q17" s="23"/>
    </row>
    <row r="18" spans="2:17" x14ac:dyDescent="0.25">
      <c r="B18" s="13"/>
      <c r="C18" s="40" t="s">
        <v>9</v>
      </c>
      <c r="D18" s="98">
        <f>[1]November!G18</f>
        <v>-80.519999999999072</v>
      </c>
      <c r="E18" s="26">
        <v>1742.32</v>
      </c>
      <c r="F18" s="28">
        <f>162.26+1499.54</f>
        <v>1661.8</v>
      </c>
      <c r="G18" s="99">
        <f>D18+E18-F18</f>
        <v>0</v>
      </c>
      <c r="H18" s="27"/>
      <c r="I18" s="73"/>
      <c r="J18" s="23"/>
      <c r="K18" s="4">
        <f>I18+H18</f>
        <v>0</v>
      </c>
    </row>
    <row r="19" spans="2:17" x14ac:dyDescent="0.25">
      <c r="B19" s="12"/>
      <c r="C19" s="55" t="s">
        <v>8</v>
      </c>
      <c r="D19" s="98">
        <f>[1]November!G19</f>
        <v>-3063.9500000000003</v>
      </c>
      <c r="E19" s="27"/>
      <c r="F19" s="27">
        <v>1039.22</v>
      </c>
      <c r="G19" s="99">
        <f>D19+E19-F19</f>
        <v>-4103.17</v>
      </c>
      <c r="H19" s="76"/>
      <c r="I19" s="73"/>
      <c r="J19" s="23"/>
    </row>
    <row r="20" spans="2:17" x14ac:dyDescent="0.25">
      <c r="B20" s="12"/>
      <c r="C20" s="55" t="s">
        <v>32</v>
      </c>
      <c r="D20" s="98">
        <f>[1]November!G20</f>
        <v>7186.83</v>
      </c>
      <c r="E20" s="27"/>
      <c r="F20" s="27"/>
      <c r="G20" s="99">
        <f t="shared" ref="G20:G21" si="1">D20+E20-F20</f>
        <v>7186.83</v>
      </c>
      <c r="H20" s="75"/>
      <c r="I20" s="73"/>
      <c r="J20" s="23"/>
    </row>
    <row r="21" spans="2:17" x14ac:dyDescent="0.25">
      <c r="B21" s="10"/>
      <c r="C21" s="41" t="s">
        <v>38</v>
      </c>
      <c r="D21" s="98">
        <f>[1]November!G21</f>
        <v>-10342.609999999999</v>
      </c>
      <c r="E21" s="28">
        <v>8500</v>
      </c>
      <c r="F21" s="28">
        <v>417.36</v>
      </c>
      <c r="G21" s="99">
        <f t="shared" si="1"/>
        <v>-2259.9699999999989</v>
      </c>
      <c r="H21" s="27"/>
      <c r="I21" s="73"/>
      <c r="J21" s="23"/>
      <c r="K21" s="4"/>
    </row>
    <row r="22" spans="2:17" x14ac:dyDescent="0.25">
      <c r="B22" s="775" t="s">
        <v>10</v>
      </c>
      <c r="C22" s="776"/>
      <c r="D22" s="100">
        <f>SUM(D23:D27)</f>
        <v>189383.62</v>
      </c>
      <c r="E22" s="54">
        <f>SUM(E23:E27)</f>
        <v>0</v>
      </c>
      <c r="F22" s="54">
        <f>SUM(F23:F27)</f>
        <v>14990.64</v>
      </c>
      <c r="G22" s="100">
        <f>SUM(G23:G27)</f>
        <v>174392.97999999998</v>
      </c>
      <c r="H22" s="63">
        <f>SUM(H27:H31)</f>
        <v>0</v>
      </c>
      <c r="I22" s="73"/>
      <c r="J22" s="73"/>
      <c r="Q22" s="23"/>
    </row>
    <row r="23" spans="2:17" x14ac:dyDescent="0.25">
      <c r="B23" s="13"/>
      <c r="C23" s="37" t="s">
        <v>36</v>
      </c>
      <c r="D23" s="101">
        <f>[1]November!G23</f>
        <v>18710</v>
      </c>
      <c r="E23" s="26"/>
      <c r="F23" s="26"/>
      <c r="G23" s="101">
        <f>D23+E23-F23</f>
        <v>18710</v>
      </c>
      <c r="H23" s="66"/>
      <c r="I23" s="73"/>
      <c r="J23" s="23"/>
      <c r="K23" s="5"/>
    </row>
    <row r="24" spans="2:17" x14ac:dyDescent="0.25">
      <c r="B24" s="11"/>
      <c r="C24" s="19" t="s">
        <v>34</v>
      </c>
      <c r="D24" s="101">
        <f>[1]November!G24</f>
        <v>70877.69</v>
      </c>
      <c r="E24" s="28"/>
      <c r="F24" s="28">
        <v>14990.64</v>
      </c>
      <c r="G24" s="101">
        <f t="shared" ref="G24:G27" si="2">D24+E24-F24</f>
        <v>55887.05</v>
      </c>
      <c r="H24" s="77"/>
      <c r="I24" s="74"/>
      <c r="J24" s="23"/>
      <c r="K24" s="23"/>
    </row>
    <row r="25" spans="2:17" x14ac:dyDescent="0.25">
      <c r="B25" s="11"/>
      <c r="C25" s="19" t="s">
        <v>39</v>
      </c>
      <c r="D25" s="101">
        <f>[1]November!G25</f>
        <v>100000</v>
      </c>
      <c r="E25" s="28"/>
      <c r="F25" s="28"/>
      <c r="G25" s="101">
        <f t="shared" si="2"/>
        <v>100000</v>
      </c>
      <c r="H25" s="77"/>
      <c r="I25" s="74"/>
      <c r="J25" s="23"/>
      <c r="K25" s="23"/>
    </row>
    <row r="26" spans="2:17" x14ac:dyDescent="0.25">
      <c r="B26" s="11"/>
      <c r="C26" s="19" t="s">
        <v>49</v>
      </c>
      <c r="D26" s="26">
        <f>[1]November!G26</f>
        <v>0</v>
      </c>
      <c r="E26" s="28"/>
      <c r="F26" s="28"/>
      <c r="G26" s="26">
        <f t="shared" si="2"/>
        <v>0</v>
      </c>
      <c r="H26" s="77"/>
      <c r="I26" s="74"/>
      <c r="J26" s="23"/>
      <c r="K26" s="23"/>
    </row>
    <row r="27" spans="2:17" x14ac:dyDescent="0.25">
      <c r="B27" s="10"/>
      <c r="C27" s="18" t="s">
        <v>44</v>
      </c>
      <c r="D27" s="101">
        <f>[1]November!G27</f>
        <v>-204.07</v>
      </c>
      <c r="E27" s="28"/>
      <c r="F27" s="28"/>
      <c r="G27" s="101">
        <f t="shared" si="2"/>
        <v>-204.07</v>
      </c>
      <c r="H27" s="27"/>
      <c r="I27" s="73"/>
      <c r="J27" s="23"/>
      <c r="K27" s="5"/>
    </row>
    <row r="28" spans="2:17" x14ac:dyDescent="0.25">
      <c r="B28" s="775" t="s">
        <v>35</v>
      </c>
      <c r="C28" s="776"/>
      <c r="D28" s="100">
        <f>SUM(D29:D31)</f>
        <v>44980.160000000003</v>
      </c>
      <c r="E28" s="54">
        <f>SUM(E29:E32)</f>
        <v>0</v>
      </c>
      <c r="F28" s="54">
        <f>SUM(F29:F32)</f>
        <v>800.8</v>
      </c>
      <c r="G28" s="100">
        <f>SUM(G29:G32)</f>
        <v>44179.360000000001</v>
      </c>
      <c r="H28" s="63">
        <f t="shared" ref="H28" si="3">SUM(H29:H31)</f>
        <v>0</v>
      </c>
      <c r="I28" s="73"/>
      <c r="J28" s="73"/>
      <c r="Q28" s="23"/>
    </row>
    <row r="29" spans="2:17" x14ac:dyDescent="0.25">
      <c r="B29" s="10"/>
      <c r="C29" s="18" t="s">
        <v>48</v>
      </c>
      <c r="D29" s="100">
        <f>[1]November!G29</f>
        <v>27477.84</v>
      </c>
      <c r="E29" s="28"/>
      <c r="F29" s="79"/>
      <c r="G29" s="102">
        <f t="shared" ref="G29:G32" si="4">D29+E29-F29</f>
        <v>27477.84</v>
      </c>
      <c r="H29" s="27"/>
      <c r="I29" s="73"/>
      <c r="J29" s="23"/>
      <c r="K29" s="5"/>
    </row>
    <row r="30" spans="2:17" x14ac:dyDescent="0.25">
      <c r="B30" s="10"/>
      <c r="C30" s="20" t="s">
        <v>45</v>
      </c>
      <c r="D30" s="100">
        <f>[1]November!G30</f>
        <v>16168.32</v>
      </c>
      <c r="E30" s="28"/>
      <c r="F30" s="103">
        <v>800.8</v>
      </c>
      <c r="G30" s="102">
        <f t="shared" si="4"/>
        <v>15367.52</v>
      </c>
      <c r="H30" s="27"/>
      <c r="I30" s="73"/>
      <c r="J30" s="93"/>
      <c r="K30" s="3"/>
    </row>
    <row r="31" spans="2:17" x14ac:dyDescent="0.25">
      <c r="B31" s="10"/>
      <c r="C31" s="21" t="s">
        <v>33</v>
      </c>
      <c r="D31" s="100">
        <f>[1]November!G31</f>
        <v>1334</v>
      </c>
      <c r="E31" s="28"/>
      <c r="F31" s="28"/>
      <c r="G31" s="102">
        <f t="shared" si="4"/>
        <v>1334</v>
      </c>
      <c r="H31" s="27"/>
      <c r="I31" s="73"/>
      <c r="J31" s="23"/>
      <c r="K31" s="4"/>
      <c r="Q31" s="71"/>
    </row>
    <row r="32" spans="2:17" ht="15.75" thickBot="1" x14ac:dyDescent="0.3">
      <c r="C32" s="104" t="s">
        <v>47</v>
      </c>
      <c r="D32" s="36">
        <f>[1]November!G32</f>
        <v>0</v>
      </c>
      <c r="E32" s="28"/>
      <c r="F32" s="28"/>
      <c r="G32" s="56">
        <f t="shared" si="4"/>
        <v>0</v>
      </c>
      <c r="H32" s="27"/>
      <c r="I32" s="73"/>
      <c r="J32" s="23"/>
      <c r="K32" s="4"/>
      <c r="Q32" s="71"/>
    </row>
    <row r="33" spans="2:17" ht="15.75" thickBot="1" x14ac:dyDescent="0.3">
      <c r="B33" s="779" t="s">
        <v>11</v>
      </c>
      <c r="C33" s="766"/>
      <c r="D33" s="38">
        <f>D6+D16+D22+D28</f>
        <v>367149.25</v>
      </c>
      <c r="E33" s="47">
        <f>SUM(E22,E17,E6,E28)</f>
        <v>10389.969999999999</v>
      </c>
      <c r="F33" s="43">
        <f>SUM(F22,F17,F6,F28)</f>
        <v>29326.43</v>
      </c>
      <c r="G33" s="44">
        <f>SUM(G22,G17,G6,G28)</f>
        <v>343115.97000000003</v>
      </c>
      <c r="H33" s="78">
        <f>SUM(H6,H16,H22,H28)</f>
        <v>0</v>
      </c>
      <c r="I33" s="23"/>
      <c r="J33" s="23"/>
      <c r="K33" s="6"/>
    </row>
    <row r="34" spans="2:17" hidden="1" x14ac:dyDescent="0.25">
      <c r="B34" s="84"/>
      <c r="C34" s="85"/>
      <c r="D34" s="23"/>
      <c r="E34" s="23"/>
      <c r="F34" s="23"/>
      <c r="G34" s="23"/>
      <c r="H34" s="49"/>
      <c r="I34" s="23"/>
      <c r="L34" t="s">
        <v>12</v>
      </c>
      <c r="M34">
        <v>42.43</v>
      </c>
    </row>
    <row r="35" spans="2:17" ht="15.75" hidden="1" thickBot="1" x14ac:dyDescent="0.3">
      <c r="B35" s="9" t="s">
        <v>25</v>
      </c>
      <c r="C35" s="15"/>
      <c r="D35" s="33" t="e">
        <f>SUM(D33,#REF!)</f>
        <v>#REF!</v>
      </c>
      <c r="E35" s="34" t="e">
        <f>SUM(E33,#REF!)</f>
        <v>#REF!</v>
      </c>
      <c r="F35" s="34" t="e">
        <f>SUM(F33,#REF!)</f>
        <v>#REF!</v>
      </c>
      <c r="G35" s="35" t="e">
        <f>SUM(G33,#REF!)</f>
        <v>#REF!</v>
      </c>
      <c r="H35" s="49"/>
      <c r="I35" s="23"/>
      <c r="J35" s="6"/>
      <c r="K35" s="4">
        <v>206730.35</v>
      </c>
    </row>
    <row r="36" spans="2:17" ht="15.75" thickBot="1" x14ac:dyDescent="0.3">
      <c r="C36" s="7"/>
      <c r="D36" s="23"/>
      <c r="E36" s="23"/>
      <c r="F36" s="23"/>
      <c r="G36" s="23"/>
      <c r="H36" s="49"/>
      <c r="I36" s="64"/>
      <c r="J36" s="6"/>
      <c r="K36" s="4"/>
      <c r="Q36" s="23"/>
    </row>
    <row r="37" spans="2:17" ht="15.75" thickBot="1" x14ac:dyDescent="0.3">
      <c r="B37" s="780" t="s">
        <v>13</v>
      </c>
      <c r="C37" s="781"/>
      <c r="D37" s="31" t="s">
        <v>2</v>
      </c>
      <c r="E37" s="31" t="s">
        <v>3</v>
      </c>
      <c r="F37" s="31" t="s">
        <v>24</v>
      </c>
      <c r="G37" s="31" t="s">
        <v>27</v>
      </c>
      <c r="H37" s="31" t="s">
        <v>5</v>
      </c>
      <c r="I37" s="50"/>
      <c r="J37" s="6"/>
      <c r="K37" s="8"/>
    </row>
    <row r="38" spans="2:17" ht="15.75" thickBot="1" x14ac:dyDescent="0.3">
      <c r="B38" s="769" t="s">
        <v>14</v>
      </c>
      <c r="C38" s="770"/>
      <c r="D38" s="32">
        <f>[1]November!H38</f>
        <v>128.27000000000001</v>
      </c>
      <c r="E38" s="57"/>
      <c r="F38" s="57"/>
      <c r="G38" s="57"/>
      <c r="H38" s="61">
        <f t="shared" ref="H38:H40" si="5">D38+E38+F38-G38</f>
        <v>128.27000000000001</v>
      </c>
      <c r="I38" s="23"/>
      <c r="K38" s="6"/>
      <c r="L38" s="4"/>
    </row>
    <row r="39" spans="2:17" ht="15.75" thickBot="1" x14ac:dyDescent="0.3">
      <c r="B39" s="782" t="s">
        <v>15</v>
      </c>
      <c r="C39" s="783"/>
      <c r="D39" s="32">
        <f>[1]November!H39</f>
        <v>7764.4400000000096</v>
      </c>
      <c r="E39" s="59"/>
      <c r="F39" s="59">
        <v>20000</v>
      </c>
      <c r="G39" s="59">
        <v>16112.53</v>
      </c>
      <c r="H39" s="59">
        <f>D39+E39+F39-G39</f>
        <v>11651.910000000009</v>
      </c>
      <c r="I39" s="23"/>
      <c r="J39" s="65"/>
      <c r="K39" s="6"/>
    </row>
    <row r="40" spans="2:17" ht="15.75" thickBot="1" x14ac:dyDescent="0.3">
      <c r="B40" s="14"/>
      <c r="C40" s="16" t="s">
        <v>21</v>
      </c>
      <c r="D40" s="105">
        <v>17178.939999999999</v>
      </c>
      <c r="E40" s="56"/>
      <c r="F40" s="56"/>
      <c r="G40" s="56">
        <v>17178.939999999999</v>
      </c>
      <c r="H40" s="56">
        <f t="shared" si="5"/>
        <v>0</v>
      </c>
      <c r="I40" s="23"/>
      <c r="J40" s="65"/>
      <c r="K40" s="4"/>
    </row>
    <row r="41" spans="2:17" ht="15.75" thickBot="1" x14ac:dyDescent="0.3">
      <c r="B41" s="14"/>
      <c r="C41" s="16" t="s">
        <v>40</v>
      </c>
      <c r="D41" s="32">
        <f>[1]November!H41</f>
        <v>-1187.7200000000005</v>
      </c>
      <c r="E41" s="56">
        <f>960.38+201.03+173.19</f>
        <v>1334.6000000000001</v>
      </c>
      <c r="F41" s="56"/>
      <c r="G41" s="56">
        <v>4448.17</v>
      </c>
      <c r="H41" s="60">
        <f>D41+E41+F41-G41-0.03</f>
        <v>-4301.3200000000006</v>
      </c>
      <c r="I41" s="23"/>
      <c r="J41" s="4"/>
      <c r="K41" s="4"/>
    </row>
    <row r="42" spans="2:17" ht="15.75" thickBot="1" x14ac:dyDescent="0.3">
      <c r="B42" s="769" t="s">
        <v>16</v>
      </c>
      <c r="C42" s="770"/>
      <c r="D42" s="32">
        <f>[1]November!H42</f>
        <v>177462.38000000006</v>
      </c>
      <c r="E42" s="61">
        <f>SUM(242.7+17178.94)</f>
        <v>17421.64</v>
      </c>
      <c r="F42" s="61"/>
      <c r="G42" s="61">
        <v>20000</v>
      </c>
      <c r="H42" s="58">
        <f>D42+E42-F42-G42</f>
        <v>174884.02000000008</v>
      </c>
      <c r="I42" s="23"/>
      <c r="J42" s="4"/>
      <c r="K42" s="4"/>
    </row>
    <row r="43" spans="2:17" ht="15.75" thickBot="1" x14ac:dyDescent="0.3">
      <c r="B43" s="80" t="s">
        <v>46</v>
      </c>
      <c r="C43" s="81"/>
      <c r="D43" s="32">
        <f>[1]November!H43</f>
        <v>160706.75999999998</v>
      </c>
      <c r="E43" s="28">
        <v>54.45</v>
      </c>
      <c r="F43" s="28"/>
      <c r="G43" s="28">
        <v>7.5</v>
      </c>
      <c r="H43" s="48">
        <f>D43+E43+F43-G43-0.03</f>
        <v>160753.68</v>
      </c>
      <c r="I43" s="23"/>
      <c r="J43" s="4"/>
      <c r="K43" s="4"/>
    </row>
    <row r="44" spans="2:17" ht="15.75" thickBot="1" x14ac:dyDescent="0.3">
      <c r="B44" s="765"/>
      <c r="C44" s="766"/>
      <c r="D44" s="29">
        <f>SUM(D38+D39+D42+D43-D41)</f>
        <v>347249.57000000007</v>
      </c>
      <c r="E44" s="46">
        <f>SUM(E38:E43)</f>
        <v>18810.689999999999</v>
      </c>
      <c r="F44" s="30">
        <f>SUM(F39:F43)</f>
        <v>20000</v>
      </c>
      <c r="G44" s="42">
        <f>SUM(G38:G43)</f>
        <v>57747.14</v>
      </c>
      <c r="H44" s="45">
        <f>SUM(H38+H39+H42+H40+H43+H41)</f>
        <v>343116.56000000011</v>
      </c>
      <c r="I44" s="23"/>
      <c r="J44" s="6"/>
      <c r="K44" s="4"/>
      <c r="L44" s="3"/>
    </row>
    <row r="45" spans="2:17" x14ac:dyDescent="0.25">
      <c r="B45" s="84"/>
      <c r="C45" s="85"/>
      <c r="D45" s="23"/>
      <c r="E45" s="23"/>
      <c r="F45" s="23"/>
      <c r="G45" s="23"/>
      <c r="H45" s="23">
        <f>G33-H44</f>
        <v>-0.59000000008381903</v>
      </c>
      <c r="I45" s="23"/>
      <c r="J45" s="6"/>
      <c r="K45" s="6"/>
      <c r="L45" s="3"/>
    </row>
    <row r="46" spans="2:17" x14ac:dyDescent="0.25">
      <c r="C46" s="7"/>
      <c r="D46" s="23"/>
      <c r="E46" s="23"/>
      <c r="F46" s="23"/>
      <c r="G46" s="23"/>
      <c r="H46" s="23"/>
      <c r="I46" s="23"/>
      <c r="J46" s="6"/>
    </row>
    <row r="47" spans="2:17" ht="15.75" x14ac:dyDescent="0.25">
      <c r="B47" s="767" t="s">
        <v>17</v>
      </c>
      <c r="C47" s="767"/>
      <c r="D47" s="767"/>
      <c r="E47" s="767"/>
      <c r="F47" s="768" t="s">
        <v>18</v>
      </c>
      <c r="G47" s="768"/>
      <c r="H47" s="23"/>
      <c r="I47" s="23"/>
      <c r="K47" s="6"/>
    </row>
    <row r="48" spans="2:17" ht="15.75" x14ac:dyDescent="0.25">
      <c r="B48" s="86"/>
      <c r="C48" s="86"/>
      <c r="D48" s="87"/>
      <c r="E48" s="87"/>
      <c r="F48" s="87"/>
      <c r="G48" s="87"/>
      <c r="H48" s="23"/>
      <c r="I48" s="23"/>
    </row>
    <row r="49" spans="2:17" ht="15.75" x14ac:dyDescent="0.25">
      <c r="B49" s="767" t="s">
        <v>19</v>
      </c>
      <c r="C49" s="767"/>
      <c r="D49" s="767"/>
      <c r="E49" s="767"/>
      <c r="F49" s="768" t="s">
        <v>18</v>
      </c>
      <c r="G49" s="768"/>
      <c r="H49" s="23"/>
      <c r="I49" s="23"/>
    </row>
    <row r="50" spans="2:17" x14ac:dyDescent="0.25">
      <c r="B50" s="84"/>
      <c r="C50" s="85"/>
      <c r="D50" s="3"/>
      <c r="E50" s="3"/>
      <c r="F50" s="3"/>
      <c r="G50" s="4"/>
      <c r="H50" s="3"/>
      <c r="I50" s="3"/>
      <c r="J50" s="6"/>
      <c r="K50" s="4"/>
      <c r="Q50" s="17"/>
    </row>
    <row r="51" spans="2:17" x14ac:dyDescent="0.25">
      <c r="C51" s="7"/>
      <c r="D51" s="6"/>
      <c r="E51" s="6"/>
      <c r="F51" s="6"/>
      <c r="G51" s="6"/>
      <c r="J51" s="6"/>
      <c r="K51" s="8"/>
      <c r="M51" s="3"/>
      <c r="Q51" s="17"/>
    </row>
    <row r="52" spans="2:17" x14ac:dyDescent="0.25">
      <c r="C52" s="7"/>
      <c r="D52" s="4"/>
      <c r="E52" s="6"/>
      <c r="G52" s="6"/>
      <c r="K52" s="6"/>
    </row>
  </sheetData>
  <mergeCells count="17">
    <mergeCell ref="B47:E47"/>
    <mergeCell ref="F47:G47"/>
    <mergeCell ref="B44:C44"/>
    <mergeCell ref="B49:E49"/>
    <mergeCell ref="F49:G49"/>
    <mergeCell ref="B2:H2"/>
    <mergeCell ref="B3:H3"/>
    <mergeCell ref="B5:C5"/>
    <mergeCell ref="B6:C6"/>
    <mergeCell ref="B22:C22"/>
    <mergeCell ref="B39:C39"/>
    <mergeCell ref="B42:C42"/>
    <mergeCell ref="B37:C37"/>
    <mergeCell ref="B38:C38"/>
    <mergeCell ref="B17:C17"/>
    <mergeCell ref="B28:C28"/>
    <mergeCell ref="B33:C33"/>
  </mergeCells>
  <pageMargins left="0.25" right="0.25" top="0.75" bottom="0.75" header="0.3" footer="0.3"/>
  <pageSetup scale="95" fitToHeight="0"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9EC91-AC68-4680-9A65-E32EB7848066}">
  <dimension ref="A1:R54"/>
  <sheetViews>
    <sheetView topLeftCell="A2" zoomScale="130" zoomScaleNormal="130" workbookViewId="0">
      <selection activeCell="D44" sqref="D44"/>
    </sheetView>
  </sheetViews>
  <sheetFormatPr defaultColWidth="9.140625" defaultRowHeight="11.25" x14ac:dyDescent="0.2"/>
  <cols>
    <col min="1" max="1" width="10.7109375" style="378" customWidth="1"/>
    <col min="2" max="2" width="28.140625" style="378" customWidth="1"/>
    <col min="3" max="3" width="10.5703125" style="378" customWidth="1"/>
    <col min="4" max="4" width="9.42578125" style="378" customWidth="1"/>
    <col min="5" max="5" width="9.140625" style="378"/>
    <col min="6" max="6" width="10.28515625" style="378" customWidth="1"/>
    <col min="7" max="7" width="8.85546875" style="378" customWidth="1"/>
    <col min="8" max="8" width="35.85546875" style="378" bestFit="1" customWidth="1"/>
    <col min="9" max="9" width="14.7109375" style="378" customWidth="1"/>
    <col min="10" max="10" width="14.5703125" style="378" customWidth="1"/>
    <col min="11" max="11" width="11.28515625" style="378" customWidth="1"/>
    <col min="12" max="15" width="9.140625" style="378"/>
    <col min="16" max="16" width="13" style="378" customWidth="1"/>
    <col min="17" max="16384" width="9.140625" style="378"/>
  </cols>
  <sheetData>
    <row r="1" spans="1:18" hidden="1" x14ac:dyDescent="0.2"/>
    <row r="2" spans="1:18" x14ac:dyDescent="0.2">
      <c r="A2" s="786" t="s">
        <v>0</v>
      </c>
      <c r="B2" s="786"/>
      <c r="C2" s="786"/>
      <c r="D2" s="786"/>
      <c r="E2" s="786"/>
      <c r="F2" s="786"/>
      <c r="G2" s="786"/>
      <c r="H2" s="380"/>
    </row>
    <row r="3" spans="1:18" x14ac:dyDescent="0.2">
      <c r="A3" s="787" t="s">
        <v>93</v>
      </c>
      <c r="B3" s="787"/>
      <c r="C3" s="787"/>
      <c r="D3" s="787"/>
      <c r="E3" s="787"/>
      <c r="F3" s="787"/>
      <c r="G3" s="787"/>
      <c r="H3" s="381"/>
    </row>
    <row r="4" spans="1:18" ht="12" thickBot="1" x14ac:dyDescent="0.25">
      <c r="B4" s="265" t="s">
        <v>37</v>
      </c>
      <c r="F4" s="266"/>
      <c r="I4" s="267"/>
    </row>
    <row r="5" spans="1:18" x14ac:dyDescent="0.2">
      <c r="A5" s="788" t="s">
        <v>1</v>
      </c>
      <c r="B5" s="789"/>
      <c r="C5" s="268" t="s">
        <v>2</v>
      </c>
      <c r="D5" s="268" t="s">
        <v>3</v>
      </c>
      <c r="E5" s="268" t="s">
        <v>58</v>
      </c>
      <c r="F5" s="268" t="s">
        <v>5</v>
      </c>
      <c r="G5" s="268" t="s">
        <v>6</v>
      </c>
      <c r="H5" s="269"/>
      <c r="I5" s="269"/>
    </row>
    <row r="6" spans="1:18" x14ac:dyDescent="0.2">
      <c r="A6" s="790" t="s">
        <v>7</v>
      </c>
      <c r="B6" s="791"/>
      <c r="C6" s="270">
        <f>SUM(C7:C16)</f>
        <v>157173.02999999997</v>
      </c>
      <c r="D6" s="271">
        <f>SUM(D7:D16)</f>
        <v>1784.92</v>
      </c>
      <c r="E6" s="271">
        <f>SUM(E7:E16)</f>
        <v>-4019.48</v>
      </c>
      <c r="F6" s="271">
        <f>SUM(F7:F16)</f>
        <v>162977.43</v>
      </c>
      <c r="G6" s="272">
        <f>SUM(G7:G15)</f>
        <v>600</v>
      </c>
      <c r="H6" s="273"/>
      <c r="I6" s="273"/>
      <c r="J6" s="273"/>
      <c r="K6" s="379"/>
      <c r="P6" s="379"/>
      <c r="R6" s="379"/>
    </row>
    <row r="7" spans="1:18" ht="12" customHeight="1" x14ac:dyDescent="0.2">
      <c r="A7" s="275"/>
      <c r="B7" s="276" t="s">
        <v>23</v>
      </c>
      <c r="C7" s="277">
        <f>'May 2021'!F7</f>
        <v>163064.71</v>
      </c>
      <c r="D7" s="278">
        <f>110.16+1268</f>
        <v>1378.16</v>
      </c>
      <c r="E7" s="278">
        <f>1000+2198.9+222.88+427.19+194.32+554.06-11333.66</f>
        <v>-6736.3099999999995</v>
      </c>
      <c r="F7" s="279">
        <f>C7+D7-E7</f>
        <v>171179.18</v>
      </c>
      <c r="G7" s="280"/>
      <c r="H7" s="281"/>
      <c r="I7" s="379"/>
    </row>
    <row r="8" spans="1:18" x14ac:dyDescent="0.2">
      <c r="A8" s="282"/>
      <c r="B8" s="283" t="s">
        <v>62</v>
      </c>
      <c r="C8" s="277">
        <f>'May 2021'!F8</f>
        <v>-2859.9599999999996</v>
      </c>
      <c r="D8" s="284"/>
      <c r="E8" s="285">
        <f>1850.66+167.16</f>
        <v>2017.8200000000002</v>
      </c>
      <c r="F8" s="286">
        <f t="shared" ref="F8:F16" si="0">C8+D8-E8</f>
        <v>-4877.78</v>
      </c>
      <c r="G8" s="280"/>
      <c r="H8" s="273"/>
      <c r="I8" s="287"/>
    </row>
    <row r="9" spans="1:18" hidden="1" x14ac:dyDescent="0.2">
      <c r="A9" s="282"/>
      <c r="B9" s="288" t="s">
        <v>67</v>
      </c>
      <c r="C9" s="277">
        <f>'May 2021'!F9</f>
        <v>0</v>
      </c>
      <c r="D9" s="284"/>
      <c r="E9" s="284"/>
      <c r="F9" s="279">
        <f t="shared" si="0"/>
        <v>0</v>
      </c>
      <c r="G9" s="280"/>
      <c r="H9" s="273"/>
      <c r="I9" s="289"/>
      <c r="J9" s="379"/>
    </row>
    <row r="10" spans="1:18" hidden="1" x14ac:dyDescent="0.2">
      <c r="A10" s="282"/>
      <c r="B10" s="288" t="s">
        <v>41</v>
      </c>
      <c r="C10" s="277">
        <f>'May 2021'!F10</f>
        <v>-1.0000000002037268E-2</v>
      </c>
      <c r="D10" s="290"/>
      <c r="E10" s="290"/>
      <c r="F10" s="286">
        <f t="shared" si="0"/>
        <v>-1.0000000002037268E-2</v>
      </c>
      <c r="G10" s="280"/>
      <c r="H10" s="273"/>
      <c r="I10" s="291"/>
      <c r="J10" s="379"/>
    </row>
    <row r="11" spans="1:18" hidden="1" x14ac:dyDescent="0.2">
      <c r="A11" s="282"/>
      <c r="B11" s="288" t="s">
        <v>29</v>
      </c>
      <c r="C11" s="277">
        <f>'May 2021'!F11</f>
        <v>0</v>
      </c>
      <c r="D11" s="292"/>
      <c r="E11" s="292"/>
      <c r="F11" s="279">
        <f t="shared" si="0"/>
        <v>0</v>
      </c>
      <c r="G11" s="280"/>
      <c r="H11" s="273"/>
      <c r="I11" s="293"/>
    </row>
    <row r="12" spans="1:18" x14ac:dyDescent="0.2">
      <c r="A12" s="282"/>
      <c r="B12" s="288" t="s">
        <v>20</v>
      </c>
      <c r="C12" s="277">
        <f>'May 2021'!F12</f>
        <v>-1656.9099999999999</v>
      </c>
      <c r="D12" s="290">
        <v>406.76</v>
      </c>
      <c r="E12" s="294">
        <v>222.88</v>
      </c>
      <c r="F12" s="295">
        <f>C12+D12-E12</f>
        <v>-1473.0299999999997</v>
      </c>
      <c r="G12" s="280"/>
      <c r="H12" s="273"/>
      <c r="I12" s="379"/>
    </row>
    <row r="13" spans="1:18" x14ac:dyDescent="0.2">
      <c r="A13" s="282"/>
      <c r="B13" s="288" t="s">
        <v>22</v>
      </c>
      <c r="C13" s="277">
        <f>'May 2021'!F13</f>
        <v>167.76999999999995</v>
      </c>
      <c r="D13" s="290"/>
      <c r="E13" s="294"/>
      <c r="F13" s="295">
        <f>C13+D13-E13</f>
        <v>167.76999999999995</v>
      </c>
      <c r="G13" s="280"/>
      <c r="H13" s="273"/>
      <c r="I13" s="379"/>
    </row>
    <row r="14" spans="1:18" x14ac:dyDescent="0.2">
      <c r="A14" s="282"/>
      <c r="B14" s="288" t="s">
        <v>28</v>
      </c>
      <c r="C14" s="277">
        <f>'May 2021'!F14</f>
        <v>-1484.420000000001</v>
      </c>
      <c r="D14" s="294"/>
      <c r="E14" s="290">
        <f>200.96+111.44</f>
        <v>312.39999999999998</v>
      </c>
      <c r="F14" s="286">
        <f t="shared" si="0"/>
        <v>-1796.8200000000011</v>
      </c>
      <c r="G14" s="280"/>
      <c r="H14" s="273"/>
      <c r="I14" s="379"/>
    </row>
    <row r="15" spans="1:18" x14ac:dyDescent="0.2">
      <c r="A15" s="282"/>
      <c r="B15" s="296" t="s">
        <v>42</v>
      </c>
      <c r="C15" s="277">
        <f>'May 2021'!F15</f>
        <v>410.04000000000008</v>
      </c>
      <c r="D15" s="284"/>
      <c r="E15" s="284">
        <v>140.34</v>
      </c>
      <c r="F15" s="297">
        <f t="shared" si="0"/>
        <v>269.70000000000005</v>
      </c>
      <c r="G15" s="280">
        <v>600</v>
      </c>
      <c r="H15" s="273"/>
      <c r="I15" s="379"/>
    </row>
    <row r="16" spans="1:18" x14ac:dyDescent="0.2">
      <c r="A16" s="282"/>
      <c r="B16" s="296" t="s">
        <v>43</v>
      </c>
      <c r="C16" s="277">
        <f>'May 2021'!F16</f>
        <v>-468.19000000000028</v>
      </c>
      <c r="D16" s="284"/>
      <c r="E16" s="284">
        <v>23.39</v>
      </c>
      <c r="F16" s="295">
        <f t="shared" si="0"/>
        <v>-491.58000000000027</v>
      </c>
      <c r="G16" s="280"/>
      <c r="H16" s="273"/>
      <c r="I16" s="273"/>
      <c r="P16" s="379"/>
    </row>
    <row r="17" spans="1:16" x14ac:dyDescent="0.2">
      <c r="A17" s="792" t="s">
        <v>53</v>
      </c>
      <c r="B17" s="793"/>
      <c r="C17" s="298">
        <f>SUM(C18:C22)</f>
        <v>-18480.72</v>
      </c>
      <c r="D17" s="299">
        <f>SUM(D18:D22)</f>
        <v>101</v>
      </c>
      <c r="E17" s="299">
        <f>SUM(E18:E22)</f>
        <v>13405.37</v>
      </c>
      <c r="F17" s="286">
        <f>SUM(F18:F22)</f>
        <v>-31785.09</v>
      </c>
      <c r="G17" s="300"/>
      <c r="H17" s="273"/>
      <c r="I17" s="273"/>
      <c r="P17" s="379"/>
    </row>
    <row r="18" spans="1:16" x14ac:dyDescent="0.2">
      <c r="A18" s="301"/>
      <c r="B18" s="302" t="s">
        <v>9</v>
      </c>
      <c r="C18" s="303">
        <f>'May 2021'!F18</f>
        <v>-8573.08</v>
      </c>
      <c r="D18" s="304"/>
      <c r="E18" s="305">
        <v>6157.21</v>
      </c>
      <c r="F18" s="306">
        <f>C18+D18-E18</f>
        <v>-14730.29</v>
      </c>
      <c r="G18" s="284">
        <v>15176</v>
      </c>
      <c r="H18" s="273"/>
      <c r="I18" s="379"/>
      <c r="J18" s="79"/>
    </row>
    <row r="19" spans="1:16" x14ac:dyDescent="0.2">
      <c r="A19" s="282"/>
      <c r="B19" s="307" t="s">
        <v>8</v>
      </c>
      <c r="C19" s="303">
        <f>'May 2021'!F19</f>
        <v>-2375.31</v>
      </c>
      <c r="D19" s="294">
        <v>101</v>
      </c>
      <c r="E19" s="290">
        <f>5032.78+523.82</f>
        <v>5556.5999999999995</v>
      </c>
      <c r="F19" s="306">
        <f>C19+D19-E19</f>
        <v>-7830.91</v>
      </c>
      <c r="G19" s="308"/>
      <c r="H19" s="273"/>
      <c r="I19" s="379"/>
    </row>
    <row r="20" spans="1:16" x14ac:dyDescent="0.2">
      <c r="A20" s="282"/>
      <c r="B20" s="307" t="s">
        <v>32</v>
      </c>
      <c r="C20" s="303">
        <f>'May 2021'!F20</f>
        <v>-2905.0400000000004</v>
      </c>
      <c r="D20" s="294"/>
      <c r="E20" s="290">
        <v>235.12</v>
      </c>
      <c r="F20" s="306">
        <f t="shared" ref="F20:F22" si="1">C20+D20-E20</f>
        <v>-3140.1600000000003</v>
      </c>
      <c r="G20" s="309">
        <v>5000</v>
      </c>
      <c r="H20" s="273"/>
      <c r="I20" s="379"/>
    </row>
    <row r="21" spans="1:16" hidden="1" x14ac:dyDescent="0.2">
      <c r="A21" s="282"/>
      <c r="B21" s="307" t="s">
        <v>67</v>
      </c>
      <c r="C21" s="303">
        <f>'May 2021'!F21</f>
        <v>-9.0951551845463996E-15</v>
      </c>
      <c r="D21" s="294"/>
      <c r="E21" s="294"/>
      <c r="F21" s="306">
        <f t="shared" si="1"/>
        <v>-9.0951551845463996E-15</v>
      </c>
      <c r="G21" s="309"/>
      <c r="H21" s="273"/>
      <c r="I21" s="379"/>
    </row>
    <row r="22" spans="1:16" x14ac:dyDescent="0.2">
      <c r="A22" s="310"/>
      <c r="B22" s="311" t="s">
        <v>38</v>
      </c>
      <c r="C22" s="303">
        <f>'May 2021'!F22</f>
        <v>-4627.29</v>
      </c>
      <c r="D22" s="312"/>
      <c r="E22" s="305">
        <f>1307.86+148.58</f>
        <v>1456.4399999999998</v>
      </c>
      <c r="F22" s="306">
        <f t="shared" si="1"/>
        <v>-6083.73</v>
      </c>
      <c r="G22" s="284">
        <v>8500</v>
      </c>
      <c r="H22" s="273"/>
      <c r="I22" s="379"/>
      <c r="J22" s="79"/>
    </row>
    <row r="23" spans="1:16" x14ac:dyDescent="0.2">
      <c r="A23" s="790" t="s">
        <v>10</v>
      </c>
      <c r="B23" s="791"/>
      <c r="C23" s="298">
        <f>SUM(C24:C30)</f>
        <v>290161.79000000004</v>
      </c>
      <c r="D23" s="313">
        <f>SUM(D24:D30)</f>
        <v>0</v>
      </c>
      <c r="E23" s="314">
        <f>SUM(E24:E30)</f>
        <v>20350.72</v>
      </c>
      <c r="F23" s="314">
        <f>SUM(F24:F30)</f>
        <v>269811.07</v>
      </c>
      <c r="G23" s="315">
        <f>SUM(G30:G34)</f>
        <v>70450</v>
      </c>
      <c r="H23" s="273"/>
      <c r="I23" s="273"/>
      <c r="P23" s="379"/>
    </row>
    <row r="24" spans="1:16" hidden="1" x14ac:dyDescent="0.2">
      <c r="A24" s="301"/>
      <c r="B24" s="316" t="s">
        <v>55</v>
      </c>
      <c r="C24" s="303">
        <f>'February 2021'!G24</f>
        <v>0</v>
      </c>
      <c r="D24" s="317"/>
      <c r="E24" s="304"/>
      <c r="F24" s="318">
        <f>C24+D24-E24</f>
        <v>0</v>
      </c>
      <c r="G24" s="278"/>
      <c r="H24" s="273"/>
      <c r="I24" s="379"/>
      <c r="J24" s="319"/>
    </row>
    <row r="25" spans="1:16" x14ac:dyDescent="0.2">
      <c r="A25" s="310"/>
      <c r="B25" s="296" t="s">
        <v>70</v>
      </c>
      <c r="C25" s="303">
        <f>'May 2021'!F25</f>
        <v>18710</v>
      </c>
      <c r="D25" s="312"/>
      <c r="E25" s="312"/>
      <c r="F25" s="318">
        <f>C25+D25-E25</f>
        <v>18710</v>
      </c>
      <c r="G25" s="284"/>
      <c r="H25" s="273"/>
      <c r="I25" s="379"/>
      <c r="J25" s="319"/>
    </row>
    <row r="26" spans="1:16" hidden="1" x14ac:dyDescent="0.2">
      <c r="A26" s="275"/>
      <c r="B26" s="320" t="s">
        <v>34</v>
      </c>
      <c r="C26" s="303">
        <f>'May 2021'!F26</f>
        <v>5.4569682106375694E-12</v>
      </c>
      <c r="D26" s="305"/>
      <c r="E26" s="321"/>
      <c r="F26" s="318">
        <f t="shared" ref="F26:F30" si="2">C26+D26-E26</f>
        <v>5.4569682106375694E-12</v>
      </c>
      <c r="G26" s="284"/>
      <c r="H26" s="273"/>
      <c r="I26" s="379"/>
      <c r="J26" s="379"/>
    </row>
    <row r="27" spans="1:16" x14ac:dyDescent="0.2">
      <c r="A27" s="275"/>
      <c r="B27" s="320" t="s">
        <v>39</v>
      </c>
      <c r="C27" s="303">
        <f>'May 2021'!F27</f>
        <v>2467.7900000000081</v>
      </c>
      <c r="D27" s="312"/>
      <c r="E27" s="305">
        <f>2096.34+371.45</f>
        <v>2467.79</v>
      </c>
      <c r="F27" s="318">
        <f t="shared" si="2"/>
        <v>8.1854523159563541E-12</v>
      </c>
      <c r="G27" s="284"/>
      <c r="H27" s="273"/>
      <c r="I27" s="379"/>
      <c r="J27" s="379"/>
    </row>
    <row r="28" spans="1:16" x14ac:dyDescent="0.2">
      <c r="A28" s="275"/>
      <c r="B28" s="320" t="s">
        <v>65</v>
      </c>
      <c r="C28" s="303">
        <f>'May 2021'!F28</f>
        <v>134492</v>
      </c>
      <c r="D28" s="312"/>
      <c r="E28" s="312">
        <v>17882.93</v>
      </c>
      <c r="F28" s="318">
        <f t="shared" si="2"/>
        <v>116609.07</v>
      </c>
      <c r="G28" s="284"/>
      <c r="H28" s="273"/>
      <c r="I28" s="379"/>
      <c r="J28" s="379"/>
    </row>
    <row r="29" spans="1:16" x14ac:dyDescent="0.2">
      <c r="A29" s="275"/>
      <c r="B29" s="320" t="s">
        <v>86</v>
      </c>
      <c r="C29" s="303">
        <f>'May 2021'!F29</f>
        <v>134492</v>
      </c>
      <c r="D29" s="312"/>
      <c r="E29" s="312"/>
      <c r="F29" s="318">
        <f t="shared" si="2"/>
        <v>134492</v>
      </c>
      <c r="G29" s="284"/>
      <c r="H29" s="273"/>
      <c r="I29" s="379"/>
      <c r="J29" s="379"/>
    </row>
    <row r="30" spans="1:16" x14ac:dyDescent="0.2">
      <c r="A30" s="310"/>
      <c r="B30" s="296" t="s">
        <v>44</v>
      </c>
      <c r="C30" s="303">
        <f>'May 2021'!F30</f>
        <v>1.4210854715202004E-14</v>
      </c>
      <c r="D30" s="312"/>
      <c r="E30" s="305"/>
      <c r="F30" s="318">
        <f t="shared" si="2"/>
        <v>1.4210854715202004E-14</v>
      </c>
      <c r="G30" s="284">
        <v>450</v>
      </c>
      <c r="H30" s="273"/>
      <c r="I30" s="379"/>
      <c r="J30" s="319"/>
    </row>
    <row r="31" spans="1:16" x14ac:dyDescent="0.2">
      <c r="A31" s="790" t="s">
        <v>35</v>
      </c>
      <c r="B31" s="791"/>
      <c r="C31" s="298">
        <f>SUM(C32:C34)</f>
        <v>73489.25</v>
      </c>
      <c r="D31" s="313">
        <f>SUM(D32:D34)</f>
        <v>0</v>
      </c>
      <c r="E31" s="314">
        <f>SUM(E32:E34)</f>
        <v>3198.2199999999993</v>
      </c>
      <c r="F31" s="314">
        <f>SUM(F32:F34)</f>
        <v>70290.549999999988</v>
      </c>
      <c r="G31" s="315">
        <f>SUM(G32:G34)</f>
        <v>35000</v>
      </c>
      <c r="H31" s="273"/>
      <c r="I31" s="273"/>
      <c r="P31" s="379"/>
    </row>
    <row r="32" spans="1:16" x14ac:dyDescent="0.2">
      <c r="A32" s="310"/>
      <c r="B32" s="296" t="s">
        <v>78</v>
      </c>
      <c r="C32" s="303">
        <f>'May 2021'!F32</f>
        <v>19214.48</v>
      </c>
      <c r="D32" s="322"/>
      <c r="E32" s="323">
        <v>117.56</v>
      </c>
      <c r="F32" s="324">
        <f>C32+D32-E32-0.48</f>
        <v>19096.439999999999</v>
      </c>
      <c r="G32" s="284"/>
      <c r="H32" s="273"/>
      <c r="I32" s="379"/>
      <c r="J32" s="319"/>
    </row>
    <row r="33" spans="1:16" x14ac:dyDescent="0.2">
      <c r="A33" s="310"/>
      <c r="B33" s="296" t="s">
        <v>90</v>
      </c>
      <c r="C33" s="303">
        <f>'May 2021'!F33</f>
        <v>30921.370000000003</v>
      </c>
      <c r="D33" s="322"/>
      <c r="E33" s="323">
        <f>2346.7+55.72</f>
        <v>2402.4199999999996</v>
      </c>
      <c r="F33" s="324">
        <f t="shared" ref="F33" si="3">C33+D33-E33</f>
        <v>28518.950000000004</v>
      </c>
      <c r="G33" s="284">
        <v>35000</v>
      </c>
      <c r="H33" s="273"/>
      <c r="I33" s="379"/>
      <c r="J33" s="319"/>
    </row>
    <row r="34" spans="1:16" ht="12" thickBot="1" x14ac:dyDescent="0.25">
      <c r="A34" s="310"/>
      <c r="B34" s="325" t="s">
        <v>77</v>
      </c>
      <c r="C34" s="303">
        <f>'May 2021'!F34</f>
        <v>23353.399999999994</v>
      </c>
      <c r="D34" s="322"/>
      <c r="E34" s="305">
        <v>678.24</v>
      </c>
      <c r="F34" s="324">
        <f>C34+D34-E34</f>
        <v>22675.159999999993</v>
      </c>
      <c r="G34" s="284"/>
      <c r="H34" s="273"/>
      <c r="I34" s="293"/>
      <c r="J34" s="266"/>
      <c r="P34" s="326"/>
    </row>
    <row r="35" spans="1:16" ht="12" thickBot="1" x14ac:dyDescent="0.25">
      <c r="A35" s="794" t="s">
        <v>11</v>
      </c>
      <c r="B35" s="795"/>
      <c r="C35" s="327">
        <f>C6+C17+C23+C31-324.97</f>
        <v>502018.38</v>
      </c>
      <c r="D35" s="328">
        <f>SUM(D23,D17,D6,D31)</f>
        <v>1885.92</v>
      </c>
      <c r="E35" s="328">
        <f>SUM(E23,E17,E6,E31)</f>
        <v>32934.83</v>
      </c>
      <c r="F35" s="329">
        <f>SUM(F23,F17,F6,F31)-324.97</f>
        <v>470968.99000000005</v>
      </c>
      <c r="G35" s="330">
        <f>SUM(G6,G16,G23,G31)</f>
        <v>106050</v>
      </c>
      <c r="H35" s="379"/>
      <c r="I35" s="379"/>
      <c r="J35" s="331"/>
    </row>
    <row r="36" spans="1:16" hidden="1" x14ac:dyDescent="0.2">
      <c r="A36" s="382"/>
      <c r="B36" s="377"/>
      <c r="C36" s="379">
        <f>SUM(C17:C22)</f>
        <v>-36961.440000000002</v>
      </c>
      <c r="D36" s="379"/>
      <c r="E36" s="379"/>
      <c r="F36" s="379"/>
      <c r="G36" s="334"/>
      <c r="H36" s="379"/>
      <c r="K36" s="378" t="s">
        <v>12</v>
      </c>
      <c r="L36" s="378">
        <v>42.43</v>
      </c>
    </row>
    <row r="37" spans="1:16" ht="12" hidden="1" thickBot="1" x14ac:dyDescent="0.25">
      <c r="A37" s="335" t="s">
        <v>25</v>
      </c>
      <c r="B37" s="336"/>
      <c r="C37" s="337" t="e">
        <f>SUM(C35,#REF!)</f>
        <v>#REF!</v>
      </c>
      <c r="D37" s="338" t="e">
        <f>SUM(D35,#REF!)</f>
        <v>#REF!</v>
      </c>
      <c r="E37" s="338" t="e">
        <f>SUM(E35,#REF!)</f>
        <v>#REF!</v>
      </c>
      <c r="F37" s="339" t="e">
        <f>SUM(F35,#REF!)</f>
        <v>#REF!</v>
      </c>
      <c r="G37" s="334"/>
      <c r="H37" s="379"/>
      <c r="I37" s="331"/>
      <c r="J37" s="79">
        <v>206730.35</v>
      </c>
    </row>
    <row r="38" spans="1:16" ht="12" thickBot="1" x14ac:dyDescent="0.25">
      <c r="B38" s="340"/>
      <c r="C38" s="379"/>
      <c r="D38" s="379"/>
      <c r="E38" s="379"/>
      <c r="F38" s="379"/>
      <c r="G38" s="334"/>
      <c r="H38" s="341"/>
      <c r="I38" s="331"/>
      <c r="J38" s="79"/>
      <c r="P38" s="379"/>
    </row>
    <row r="39" spans="1:16" ht="12" thickBot="1" x14ac:dyDescent="0.25">
      <c r="A39" s="796" t="s">
        <v>13</v>
      </c>
      <c r="B39" s="797"/>
      <c r="C39" s="342" t="s">
        <v>2</v>
      </c>
      <c r="D39" s="342" t="s">
        <v>3</v>
      </c>
      <c r="E39" s="342" t="s">
        <v>27</v>
      </c>
      <c r="F39" s="342" t="s">
        <v>5</v>
      </c>
      <c r="G39" s="269"/>
      <c r="H39" s="331"/>
      <c r="I39" s="343"/>
    </row>
    <row r="40" spans="1:16" ht="12" thickBot="1" x14ac:dyDescent="0.25">
      <c r="A40" s="784" t="s">
        <v>14</v>
      </c>
      <c r="B40" s="785"/>
      <c r="C40" s="344">
        <f>'May 2021'!F40</f>
        <v>194.10000000000002</v>
      </c>
      <c r="D40" s="345"/>
      <c r="E40" s="345">
        <v>37.799999999999997</v>
      </c>
      <c r="F40" s="346">
        <f>C40+D40-E40</f>
        <v>156.30000000000001</v>
      </c>
      <c r="G40" s="379"/>
      <c r="I40" s="331"/>
      <c r="J40" s="79"/>
    </row>
    <row r="41" spans="1:16" ht="12" thickBot="1" x14ac:dyDescent="0.25">
      <c r="A41" s="798" t="s">
        <v>15</v>
      </c>
      <c r="B41" s="799"/>
      <c r="C41" s="344">
        <f>'May 2021'!F41</f>
        <v>5760.5700000000033</v>
      </c>
      <c r="D41" s="347">
        <v>49000</v>
      </c>
      <c r="E41" s="347">
        <v>28621.81</v>
      </c>
      <c r="F41" s="346">
        <f t="shared" ref="F41:F46" si="4">C41+D41-E41</f>
        <v>26138.760000000006</v>
      </c>
      <c r="G41" s="379"/>
      <c r="H41" s="349"/>
      <c r="I41" s="331"/>
    </row>
    <row r="42" spans="1:16" ht="12" thickBot="1" x14ac:dyDescent="0.25">
      <c r="A42" s="350"/>
      <c r="B42" s="351" t="s">
        <v>21</v>
      </c>
      <c r="C42" s="344">
        <f>'May 2021'!F42</f>
        <v>0</v>
      </c>
      <c r="D42" s="352"/>
      <c r="E42" s="352"/>
      <c r="F42" s="346">
        <f t="shared" si="4"/>
        <v>0</v>
      </c>
      <c r="G42" s="379"/>
      <c r="H42" s="349"/>
      <c r="I42" s="79"/>
    </row>
    <row r="43" spans="1:16" ht="12" thickBot="1" x14ac:dyDescent="0.25">
      <c r="A43" s="350"/>
      <c r="B43" s="351" t="s">
        <v>40</v>
      </c>
      <c r="C43" s="344">
        <f>'May 2021'!F43</f>
        <v>-856.62000000000069</v>
      </c>
      <c r="D43" s="353">
        <v>355.14</v>
      </c>
      <c r="E43" s="353">
        <v>4213.59</v>
      </c>
      <c r="F43" s="346">
        <f t="shared" si="4"/>
        <v>-4715.0700000000006</v>
      </c>
      <c r="G43" s="379"/>
      <c r="H43" s="79"/>
      <c r="I43" s="79"/>
    </row>
    <row r="44" spans="1:16" ht="12" thickBot="1" x14ac:dyDescent="0.25">
      <c r="A44" s="784" t="s">
        <v>16</v>
      </c>
      <c r="B44" s="785"/>
      <c r="C44" s="344">
        <f>'May 2021'!F44</f>
        <v>251344.55000000008</v>
      </c>
      <c r="D44" s="355">
        <f>2400.24+20</f>
        <v>2420.2399999999998</v>
      </c>
      <c r="E44" s="355">
        <f>49000</f>
        <v>49000</v>
      </c>
      <c r="F44" s="346">
        <f t="shared" si="4"/>
        <v>204764.79000000007</v>
      </c>
      <c r="G44" s="379"/>
      <c r="H44" s="79"/>
      <c r="I44" s="79"/>
    </row>
    <row r="45" spans="1:16" ht="12" thickBot="1" x14ac:dyDescent="0.25">
      <c r="A45" s="357" t="s">
        <v>46</v>
      </c>
      <c r="B45" s="358"/>
      <c r="C45" s="344">
        <f>'May 2021'!F45</f>
        <v>245575.49999999997</v>
      </c>
      <c r="D45" s="322">
        <v>48.92</v>
      </c>
      <c r="E45" s="322">
        <v>1000</v>
      </c>
      <c r="F45" s="346">
        <f t="shared" si="4"/>
        <v>244624.41999999998</v>
      </c>
      <c r="G45" s="379"/>
      <c r="H45" s="79"/>
      <c r="I45" s="79"/>
    </row>
    <row r="46" spans="1:16" ht="12" thickBot="1" x14ac:dyDescent="0.25">
      <c r="A46" s="800"/>
      <c r="B46" s="795"/>
      <c r="C46" s="360">
        <f>SUM(C40+C41+C44+C45+C43+C42)</f>
        <v>502018.10000000009</v>
      </c>
      <c r="D46" s="361">
        <f>SUM(D40:D45)</f>
        <v>51824.299999999996</v>
      </c>
      <c r="E46" s="361">
        <f>SUM(E40:E45)</f>
        <v>82873.2</v>
      </c>
      <c r="F46" s="346">
        <f t="shared" si="4"/>
        <v>470969.20000000013</v>
      </c>
      <c r="G46" s="379"/>
      <c r="H46" s="331"/>
      <c r="I46" s="79"/>
      <c r="J46" s="266"/>
    </row>
    <row r="47" spans="1:16" x14ac:dyDescent="0.2">
      <c r="A47" s="382"/>
      <c r="B47" s="377"/>
      <c r="C47" s="379">
        <f>C35-C46</f>
        <v>0.27999999991152436</v>
      </c>
      <c r="D47" s="379"/>
      <c r="E47" s="379"/>
      <c r="F47" s="379">
        <f>F35-F46</f>
        <v>-0.21000000007916242</v>
      </c>
      <c r="H47" s="379"/>
      <c r="I47" s="331"/>
      <c r="J47" s="331"/>
      <c r="K47" s="266"/>
    </row>
    <row r="48" spans="1:16" x14ac:dyDescent="0.2">
      <c r="B48" s="340"/>
      <c r="C48" s="379"/>
      <c r="D48" s="379"/>
      <c r="E48" s="379"/>
      <c r="F48" s="379"/>
      <c r="G48" s="379"/>
      <c r="H48" s="379"/>
      <c r="I48" s="331"/>
    </row>
    <row r="49" spans="1:16" x14ac:dyDescent="0.2">
      <c r="A49" s="801" t="s">
        <v>17</v>
      </c>
      <c r="B49" s="801"/>
      <c r="C49" s="801"/>
      <c r="D49" s="801"/>
      <c r="E49" s="802" t="s">
        <v>18</v>
      </c>
      <c r="F49" s="802"/>
      <c r="G49" s="379"/>
      <c r="H49" s="379"/>
      <c r="J49" s="331"/>
    </row>
    <row r="50" spans="1:16" x14ac:dyDescent="0.2">
      <c r="C50" s="379"/>
      <c r="D50" s="379"/>
      <c r="E50" s="379"/>
      <c r="F50" s="379"/>
      <c r="G50" s="379"/>
      <c r="H50" s="379"/>
    </row>
    <row r="51" spans="1:16" x14ac:dyDescent="0.2">
      <c r="A51" s="801" t="s">
        <v>19</v>
      </c>
      <c r="B51" s="801"/>
      <c r="C51" s="801"/>
      <c r="D51" s="801"/>
      <c r="E51" s="802" t="s">
        <v>18</v>
      </c>
      <c r="F51" s="802"/>
      <c r="G51" s="379"/>
      <c r="H51" s="379"/>
    </row>
    <row r="52" spans="1:16" x14ac:dyDescent="0.2">
      <c r="A52" s="382"/>
      <c r="B52" s="377"/>
      <c r="C52" s="266"/>
      <c r="D52" s="266"/>
      <c r="E52" s="266"/>
      <c r="F52" s="79"/>
      <c r="G52" s="266"/>
      <c r="H52" s="266"/>
      <c r="I52" s="331"/>
      <c r="J52" s="79"/>
      <c r="P52" s="364"/>
    </row>
    <row r="53" spans="1:16" x14ac:dyDescent="0.2">
      <c r="B53" s="340"/>
      <c r="C53" s="331"/>
      <c r="D53" s="331"/>
      <c r="E53" s="331"/>
      <c r="F53" s="331"/>
      <c r="I53" s="331"/>
      <c r="J53" s="343"/>
      <c r="L53" s="266"/>
      <c r="P53" s="364"/>
    </row>
    <row r="54" spans="1:16" x14ac:dyDescent="0.2">
      <c r="B54" s="340"/>
      <c r="C54" s="79"/>
      <c r="D54" s="331"/>
      <c r="F54" s="331"/>
      <c r="J54" s="331"/>
    </row>
  </sheetData>
  <mergeCells count="17">
    <mergeCell ref="A46:B46"/>
    <mergeCell ref="A49:D49"/>
    <mergeCell ref="E49:F49"/>
    <mergeCell ref="A51:D51"/>
    <mergeCell ref="E51:F51"/>
    <mergeCell ref="A44:B44"/>
    <mergeCell ref="A2:G2"/>
    <mergeCell ref="A3:G3"/>
    <mergeCell ref="A5:B5"/>
    <mergeCell ref="A6:B6"/>
    <mergeCell ref="A17:B17"/>
    <mergeCell ref="A23:B23"/>
    <mergeCell ref="A31:B31"/>
    <mergeCell ref="A35:B35"/>
    <mergeCell ref="A39:B39"/>
    <mergeCell ref="A40:B40"/>
    <mergeCell ref="A41:B41"/>
  </mergeCells>
  <pageMargins left="0.7" right="0.7" top="0.75" bottom="0.75" header="0.3" footer="0.3"/>
  <pageSetup orientation="portrait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EC030-DDD8-478E-8265-5864F27D2147}">
  <dimension ref="A1:R54"/>
  <sheetViews>
    <sheetView topLeftCell="A5" zoomScale="160" zoomScaleNormal="160" workbookViewId="0">
      <selection activeCell="E25" sqref="E25"/>
    </sheetView>
  </sheetViews>
  <sheetFormatPr defaultColWidth="9.140625" defaultRowHeight="11.25" x14ac:dyDescent="0.2"/>
  <cols>
    <col min="1" max="1" width="10.7109375" style="384" customWidth="1"/>
    <col min="2" max="2" width="28.140625" style="384" customWidth="1"/>
    <col min="3" max="3" width="10.5703125" style="384" customWidth="1"/>
    <col min="4" max="4" width="9.42578125" style="384" customWidth="1"/>
    <col min="5" max="5" width="9.140625" style="384"/>
    <col min="6" max="6" width="10.28515625" style="384" customWidth="1"/>
    <col min="7" max="7" width="8.85546875" style="384" customWidth="1"/>
    <col min="8" max="8" width="35.85546875" style="384" bestFit="1" customWidth="1"/>
    <col min="9" max="9" width="14.7109375" style="384" customWidth="1"/>
    <col min="10" max="10" width="14.5703125" style="384" customWidth="1"/>
    <col min="11" max="11" width="11.28515625" style="384" customWidth="1"/>
    <col min="12" max="15" width="9.140625" style="384"/>
    <col min="16" max="16" width="13" style="384" customWidth="1"/>
    <col min="17" max="16384" width="9.140625" style="384"/>
  </cols>
  <sheetData>
    <row r="1" spans="1:18" hidden="1" x14ac:dyDescent="0.2"/>
    <row r="2" spans="1:18" x14ac:dyDescent="0.2">
      <c r="A2" s="786" t="s">
        <v>0</v>
      </c>
      <c r="B2" s="786"/>
      <c r="C2" s="786"/>
      <c r="D2" s="786"/>
      <c r="E2" s="786"/>
      <c r="F2" s="786"/>
      <c r="G2" s="786"/>
      <c r="H2" s="386"/>
    </row>
    <row r="3" spans="1:18" x14ac:dyDescent="0.2">
      <c r="A3" s="787" t="s">
        <v>94</v>
      </c>
      <c r="B3" s="787"/>
      <c r="C3" s="787"/>
      <c r="D3" s="787"/>
      <c r="E3" s="787"/>
      <c r="F3" s="787"/>
      <c r="G3" s="787"/>
      <c r="H3" s="387"/>
    </row>
    <row r="4" spans="1:18" ht="12" thickBot="1" x14ac:dyDescent="0.25">
      <c r="B4" s="265" t="s">
        <v>37</v>
      </c>
      <c r="F4" s="266"/>
      <c r="I4" s="267"/>
    </row>
    <row r="5" spans="1:18" x14ac:dyDescent="0.2">
      <c r="A5" s="788" t="s">
        <v>1</v>
      </c>
      <c r="B5" s="789"/>
      <c r="C5" s="268" t="s">
        <v>2</v>
      </c>
      <c r="D5" s="268" t="s">
        <v>3</v>
      </c>
      <c r="E5" s="268" t="s">
        <v>58</v>
      </c>
      <c r="F5" s="268" t="s">
        <v>5</v>
      </c>
      <c r="G5" s="268" t="s">
        <v>6</v>
      </c>
      <c r="H5" s="269"/>
      <c r="I5" s="269"/>
    </row>
    <row r="6" spans="1:18" x14ac:dyDescent="0.2">
      <c r="A6" s="790" t="s">
        <v>7</v>
      </c>
      <c r="B6" s="791"/>
      <c r="C6" s="270">
        <f>SUM(C7:C16)</f>
        <v>162977.43</v>
      </c>
      <c r="D6" s="271">
        <f>SUM(D7:D16)</f>
        <v>7357.7900000000009</v>
      </c>
      <c r="E6" s="271">
        <f>SUM(E7:E16)</f>
        <v>12988.369999999999</v>
      </c>
      <c r="F6" s="271">
        <f>SUM(F7:F16)</f>
        <v>157346.84999999998</v>
      </c>
      <c r="G6" s="272">
        <f>SUM(G7:G15)</f>
        <v>0</v>
      </c>
      <c r="H6" s="273"/>
      <c r="I6" s="273"/>
      <c r="J6" s="273"/>
      <c r="K6" s="385"/>
      <c r="P6" s="385"/>
      <c r="R6" s="385"/>
    </row>
    <row r="7" spans="1:18" ht="12" customHeight="1" x14ac:dyDescent="0.2">
      <c r="A7" s="275"/>
      <c r="B7" s="276" t="s">
        <v>23</v>
      </c>
      <c r="C7" s="277">
        <f>'June 2021'!F7</f>
        <v>171179.18</v>
      </c>
      <c r="D7" s="278">
        <v>100.77</v>
      </c>
      <c r="E7" s="278">
        <f>1000+1907.92+4065.56+4753.19</f>
        <v>11726.669999999998</v>
      </c>
      <c r="F7" s="279">
        <f>C7+D7-E7</f>
        <v>159553.27999999997</v>
      </c>
      <c r="G7" s="280"/>
      <c r="H7" s="281"/>
      <c r="I7" s="385"/>
    </row>
    <row r="8" spans="1:18" x14ac:dyDescent="0.2">
      <c r="A8" s="282"/>
      <c r="B8" s="283" t="s">
        <v>62</v>
      </c>
      <c r="C8" s="277">
        <f>'June 2021'!F8</f>
        <v>-4877.78</v>
      </c>
      <c r="D8" s="284">
        <v>4877.78</v>
      </c>
      <c r="E8" s="285">
        <v>887.86</v>
      </c>
      <c r="F8" s="286">
        <f t="shared" ref="F8:F16" si="0">C8+D8-E8</f>
        <v>-887.86</v>
      </c>
      <c r="G8" s="280"/>
      <c r="H8" s="273"/>
      <c r="I8" s="287"/>
    </row>
    <row r="9" spans="1:18" hidden="1" x14ac:dyDescent="0.2">
      <c r="A9" s="282"/>
      <c r="B9" s="288" t="s">
        <v>67</v>
      </c>
      <c r="C9" s="277">
        <f>'June 2021'!F9</f>
        <v>0</v>
      </c>
      <c r="D9" s="284"/>
      <c r="E9" s="284"/>
      <c r="F9" s="279">
        <f t="shared" si="0"/>
        <v>0</v>
      </c>
      <c r="G9" s="280"/>
      <c r="H9" s="273"/>
      <c r="I9" s="289"/>
      <c r="J9" s="385"/>
    </row>
    <row r="10" spans="1:18" hidden="1" x14ac:dyDescent="0.2">
      <c r="A10" s="282"/>
      <c r="B10" s="288" t="s">
        <v>41</v>
      </c>
      <c r="C10" s="277">
        <f>'June 2021'!F10</f>
        <v>-1.0000000002037268E-2</v>
      </c>
      <c r="D10" s="290"/>
      <c r="E10" s="290"/>
      <c r="F10" s="286">
        <f t="shared" si="0"/>
        <v>-1.0000000002037268E-2</v>
      </c>
      <c r="G10" s="280"/>
      <c r="H10" s="273"/>
      <c r="I10" s="291"/>
      <c r="J10" s="385"/>
    </row>
    <row r="11" spans="1:18" hidden="1" x14ac:dyDescent="0.2">
      <c r="A11" s="282"/>
      <c r="B11" s="288" t="s">
        <v>29</v>
      </c>
      <c r="C11" s="277">
        <f>'June 2021'!F11</f>
        <v>0</v>
      </c>
      <c r="D11" s="292"/>
      <c r="E11" s="292"/>
      <c r="F11" s="279">
        <f t="shared" si="0"/>
        <v>0</v>
      </c>
      <c r="G11" s="280"/>
      <c r="H11" s="273"/>
      <c r="I11" s="293"/>
    </row>
    <row r="12" spans="1:18" x14ac:dyDescent="0.2">
      <c r="A12" s="282"/>
      <c r="B12" s="288" t="s">
        <v>20</v>
      </c>
      <c r="C12" s="277">
        <f>'June 2021'!F12</f>
        <v>-1473.0299999999997</v>
      </c>
      <c r="D12" s="290">
        <v>134.72</v>
      </c>
      <c r="E12" s="294"/>
      <c r="F12" s="295">
        <f>C12+D12-E12</f>
        <v>-1338.3099999999997</v>
      </c>
      <c r="G12" s="280"/>
      <c r="H12" s="273"/>
      <c r="I12" s="385"/>
    </row>
    <row r="13" spans="1:18" x14ac:dyDescent="0.2">
      <c r="A13" s="282"/>
      <c r="B13" s="288" t="s">
        <v>22</v>
      </c>
      <c r="C13" s="277">
        <f>'June 2021'!F13</f>
        <v>167.76999999999995</v>
      </c>
      <c r="D13" s="290">
        <v>36.840000000000003</v>
      </c>
      <c r="E13" s="294">
        <v>198</v>
      </c>
      <c r="F13" s="295">
        <f>C13+D13-E13</f>
        <v>6.6099999999999568</v>
      </c>
      <c r="G13" s="280"/>
      <c r="H13" s="273"/>
      <c r="I13" s="385"/>
    </row>
    <row r="14" spans="1:18" x14ac:dyDescent="0.2">
      <c r="A14" s="282"/>
      <c r="B14" s="288" t="s">
        <v>28</v>
      </c>
      <c r="C14" s="277">
        <f>'June 2021'!F14</f>
        <v>-1796.8200000000011</v>
      </c>
      <c r="D14" s="294">
        <v>1607.68</v>
      </c>
      <c r="E14" s="290">
        <v>175.84</v>
      </c>
      <c r="F14" s="286">
        <f t="shared" si="0"/>
        <v>-364.98000000000104</v>
      </c>
      <c r="G14" s="280"/>
      <c r="H14" s="273"/>
      <c r="I14" s="385"/>
    </row>
    <row r="15" spans="1:18" x14ac:dyDescent="0.2">
      <c r="A15" s="282"/>
      <c r="B15" s="296" t="s">
        <v>42</v>
      </c>
      <c r="C15" s="277">
        <f>'June 2021'!F15</f>
        <v>269.70000000000005</v>
      </c>
      <c r="D15" s="284">
        <v>600</v>
      </c>
      <c r="E15" s="284"/>
      <c r="F15" s="297">
        <f t="shared" si="0"/>
        <v>869.7</v>
      </c>
      <c r="G15" s="280"/>
      <c r="H15" s="273"/>
      <c r="I15" s="385"/>
    </row>
    <row r="16" spans="1:18" x14ac:dyDescent="0.2">
      <c r="A16" s="282"/>
      <c r="B16" s="296" t="s">
        <v>43</v>
      </c>
      <c r="C16" s="277">
        <f>'June 2021'!F16</f>
        <v>-491.58000000000027</v>
      </c>
      <c r="D16" s="284"/>
      <c r="E16" s="284"/>
      <c r="F16" s="295">
        <f t="shared" si="0"/>
        <v>-491.58000000000027</v>
      </c>
      <c r="G16" s="280"/>
      <c r="H16" s="273"/>
      <c r="I16" s="273"/>
      <c r="P16" s="385"/>
    </row>
    <row r="17" spans="1:16" x14ac:dyDescent="0.2">
      <c r="A17" s="792" t="s">
        <v>53</v>
      </c>
      <c r="B17" s="793"/>
      <c r="C17" s="298">
        <f>SUM(C18:C22)</f>
        <v>-31785.09</v>
      </c>
      <c r="D17" s="299">
        <f>SUM(D18:D22)</f>
        <v>25293.88</v>
      </c>
      <c r="E17" s="299">
        <f>SUM(E18:E22)</f>
        <v>5251.07</v>
      </c>
      <c r="F17" s="286">
        <f>SUM(F18:F22)</f>
        <v>-11742.28</v>
      </c>
      <c r="G17" s="300"/>
      <c r="H17" s="273"/>
      <c r="I17" s="273"/>
      <c r="P17" s="385"/>
    </row>
    <row r="18" spans="1:16" x14ac:dyDescent="0.2">
      <c r="A18" s="301"/>
      <c r="B18" s="302" t="s">
        <v>9</v>
      </c>
      <c r="C18" s="303">
        <f>'June 2021'!F18</f>
        <v>-14730.29</v>
      </c>
      <c r="D18" s="304">
        <v>15176</v>
      </c>
      <c r="E18" s="305"/>
      <c r="F18" s="306">
        <f>C18+D18-E18</f>
        <v>445.70999999999913</v>
      </c>
      <c r="G18" s="284"/>
      <c r="H18" s="273"/>
      <c r="I18" s="385"/>
      <c r="J18" s="79"/>
    </row>
    <row r="19" spans="1:16" x14ac:dyDescent="0.2">
      <c r="A19" s="282"/>
      <c r="B19" s="307" t="s">
        <v>8</v>
      </c>
      <c r="C19" s="303">
        <f>'June 2021'!F19</f>
        <v>-7830.91</v>
      </c>
      <c r="D19" s="294">
        <v>5117.88</v>
      </c>
      <c r="E19" s="290">
        <f>3430.09+998.05</f>
        <v>4428.1400000000003</v>
      </c>
      <c r="F19" s="306">
        <f>C19+D19-E19</f>
        <v>-7141.17</v>
      </c>
      <c r="G19" s="308"/>
      <c r="H19" s="273"/>
      <c r="I19" s="385"/>
    </row>
    <row r="20" spans="1:16" x14ac:dyDescent="0.2">
      <c r="A20" s="282"/>
      <c r="B20" s="307" t="s">
        <v>32</v>
      </c>
      <c r="C20" s="303">
        <f>'June 2021'!F20</f>
        <v>-3140.1600000000003</v>
      </c>
      <c r="D20" s="294">
        <v>5000</v>
      </c>
      <c r="E20" s="290">
        <v>249.82</v>
      </c>
      <c r="F20" s="306">
        <f t="shared" ref="F20:F22" si="1">C20+D20-E20</f>
        <v>1610.0199999999998</v>
      </c>
      <c r="G20" s="309"/>
      <c r="H20" s="273"/>
      <c r="I20" s="385"/>
    </row>
    <row r="21" spans="1:16" hidden="1" x14ac:dyDescent="0.2">
      <c r="A21" s="282"/>
      <c r="B21" s="307" t="s">
        <v>67</v>
      </c>
      <c r="C21" s="303">
        <f>'June 2021'!F21</f>
        <v>-9.0951551845463996E-15</v>
      </c>
      <c r="D21" s="294"/>
      <c r="E21" s="294"/>
      <c r="F21" s="306">
        <f t="shared" si="1"/>
        <v>-9.0951551845463996E-15</v>
      </c>
      <c r="G21" s="309"/>
      <c r="H21" s="273"/>
      <c r="I21" s="385"/>
    </row>
    <row r="22" spans="1:16" x14ac:dyDescent="0.2">
      <c r="A22" s="310"/>
      <c r="B22" s="311" t="s">
        <v>38</v>
      </c>
      <c r="C22" s="303">
        <f>'June 2021'!F22</f>
        <v>-6083.73</v>
      </c>
      <c r="D22" s="312"/>
      <c r="E22" s="305">
        <v>573.11</v>
      </c>
      <c r="F22" s="306">
        <f t="shared" si="1"/>
        <v>-6656.8399999999992</v>
      </c>
      <c r="G22" s="284">
        <v>8500</v>
      </c>
      <c r="H22" s="273"/>
      <c r="I22" s="385"/>
      <c r="J22" s="79"/>
    </row>
    <row r="23" spans="1:16" x14ac:dyDescent="0.2">
      <c r="A23" s="790" t="s">
        <v>10</v>
      </c>
      <c r="B23" s="791"/>
      <c r="C23" s="298">
        <f>SUM(C24:C30)</f>
        <v>269811.07</v>
      </c>
      <c r="D23" s="313">
        <f>SUM(D24:D30)</f>
        <v>0</v>
      </c>
      <c r="E23" s="314">
        <f>SUM(E24:E30)</f>
        <v>17254.739999999998</v>
      </c>
      <c r="F23" s="314">
        <f>SUM(F24:F30)</f>
        <v>252556.33000000002</v>
      </c>
      <c r="G23" s="315">
        <f>SUM(G30:G34)</f>
        <v>70450</v>
      </c>
      <c r="H23" s="273"/>
      <c r="I23" s="273"/>
      <c r="P23" s="385"/>
    </row>
    <row r="24" spans="1:16" hidden="1" x14ac:dyDescent="0.2">
      <c r="A24" s="301"/>
      <c r="B24" s="316" t="s">
        <v>55</v>
      </c>
      <c r="C24" s="303">
        <f>'February 2021'!G24</f>
        <v>0</v>
      </c>
      <c r="D24" s="317"/>
      <c r="E24" s="304"/>
      <c r="F24" s="318">
        <f>C24+D24-E24</f>
        <v>0</v>
      </c>
      <c r="G24" s="278"/>
      <c r="H24" s="273"/>
      <c r="I24" s="385"/>
      <c r="J24" s="319"/>
    </row>
    <row r="25" spans="1:16" x14ac:dyDescent="0.2">
      <c r="A25" s="310"/>
      <c r="B25" s="296" t="s">
        <v>70</v>
      </c>
      <c r="C25" s="303">
        <f>'June 2021'!F25</f>
        <v>18710</v>
      </c>
      <c r="D25" s="312"/>
      <c r="E25" s="312">
        <v>4379.1099999999997</v>
      </c>
      <c r="F25" s="318">
        <f>C25+D25-E25</f>
        <v>14330.89</v>
      </c>
      <c r="G25" s="284"/>
      <c r="H25" s="273"/>
      <c r="I25" s="385"/>
      <c r="J25" s="319"/>
    </row>
    <row r="26" spans="1:16" hidden="1" x14ac:dyDescent="0.2">
      <c r="A26" s="275"/>
      <c r="B26" s="320" t="s">
        <v>34</v>
      </c>
      <c r="C26" s="303">
        <f>'June 2021'!F26</f>
        <v>5.4569682106375694E-12</v>
      </c>
      <c r="D26" s="305"/>
      <c r="E26" s="321"/>
      <c r="F26" s="318">
        <f t="shared" ref="F26:F30" si="2">C26+D26-E26</f>
        <v>5.4569682106375694E-12</v>
      </c>
      <c r="G26" s="284"/>
      <c r="H26" s="273"/>
      <c r="I26" s="385"/>
      <c r="J26" s="385"/>
    </row>
    <row r="27" spans="1:16" x14ac:dyDescent="0.2">
      <c r="A27" s="275"/>
      <c r="B27" s="320" t="s">
        <v>39</v>
      </c>
      <c r="C27" s="303">
        <f>'June 2021'!F27</f>
        <v>8.1854523159563541E-12</v>
      </c>
      <c r="D27" s="312"/>
      <c r="E27" s="305"/>
      <c r="F27" s="318">
        <f t="shared" si="2"/>
        <v>8.1854523159563541E-12</v>
      </c>
      <c r="G27" s="284"/>
      <c r="H27" s="273"/>
      <c r="I27" s="385"/>
      <c r="J27" s="385"/>
    </row>
    <row r="28" spans="1:16" x14ac:dyDescent="0.2">
      <c r="A28" s="275"/>
      <c r="B28" s="320" t="s">
        <v>65</v>
      </c>
      <c r="C28" s="303">
        <f>'June 2021'!F28</f>
        <v>116609.07</v>
      </c>
      <c r="D28" s="312"/>
      <c r="E28" s="312">
        <v>12875.63</v>
      </c>
      <c r="F28" s="318">
        <f t="shared" si="2"/>
        <v>103733.44</v>
      </c>
      <c r="G28" s="284"/>
      <c r="H28" s="273"/>
      <c r="I28" s="385"/>
      <c r="J28" s="385"/>
    </row>
    <row r="29" spans="1:16" x14ac:dyDescent="0.2">
      <c r="A29" s="275"/>
      <c r="B29" s="320" t="s">
        <v>86</v>
      </c>
      <c r="C29" s="303">
        <f>'June 2021'!F29</f>
        <v>134492</v>
      </c>
      <c r="D29" s="312"/>
      <c r="E29" s="312"/>
      <c r="F29" s="318">
        <f t="shared" si="2"/>
        <v>134492</v>
      </c>
      <c r="G29" s="284"/>
      <c r="H29" s="273"/>
      <c r="I29" s="385"/>
      <c r="J29" s="385"/>
    </row>
    <row r="30" spans="1:16" x14ac:dyDescent="0.2">
      <c r="A30" s="310"/>
      <c r="B30" s="296" t="s">
        <v>44</v>
      </c>
      <c r="C30" s="303">
        <f>'June 2021'!F30</f>
        <v>1.4210854715202004E-14</v>
      </c>
      <c r="D30" s="312"/>
      <c r="E30" s="305"/>
      <c r="F30" s="318">
        <f t="shared" si="2"/>
        <v>1.4210854715202004E-14</v>
      </c>
      <c r="G30" s="284">
        <v>450</v>
      </c>
      <c r="H30" s="273"/>
      <c r="I30" s="385"/>
      <c r="J30" s="319"/>
    </row>
    <row r="31" spans="1:16" x14ac:dyDescent="0.2">
      <c r="A31" s="790" t="s">
        <v>35</v>
      </c>
      <c r="B31" s="791"/>
      <c r="C31" s="298">
        <f>SUM(C32:C34)</f>
        <v>70290.549999999988</v>
      </c>
      <c r="D31" s="313">
        <f>SUM(D32:D34)</f>
        <v>0</v>
      </c>
      <c r="E31" s="314">
        <f>SUM(E32:E34)</f>
        <v>419</v>
      </c>
      <c r="F31" s="314">
        <f>SUM(F32:F34)</f>
        <v>69871.069999999992</v>
      </c>
      <c r="G31" s="315">
        <f>SUM(G32:G34)</f>
        <v>35000</v>
      </c>
      <c r="H31" s="273"/>
      <c r="I31" s="273"/>
      <c r="P31" s="385"/>
    </row>
    <row r="32" spans="1:16" x14ac:dyDescent="0.2">
      <c r="A32" s="310"/>
      <c r="B32" s="296" t="s">
        <v>78</v>
      </c>
      <c r="C32" s="303">
        <f>'June 2021'!F32</f>
        <v>19096.439999999999</v>
      </c>
      <c r="D32" s="322"/>
      <c r="E32" s="323">
        <v>117.56</v>
      </c>
      <c r="F32" s="324">
        <f>C32+D32-E32-0.48</f>
        <v>18978.399999999998</v>
      </c>
      <c r="G32" s="284"/>
      <c r="H32" s="273"/>
      <c r="I32" s="385"/>
      <c r="J32" s="319"/>
    </row>
    <row r="33" spans="1:16" x14ac:dyDescent="0.2">
      <c r="A33" s="310"/>
      <c r="B33" s="296" t="s">
        <v>90</v>
      </c>
      <c r="C33" s="303">
        <f>'June 2021'!F33</f>
        <v>28518.950000000004</v>
      </c>
      <c r="D33" s="322"/>
      <c r="E33" s="323">
        <v>175.84</v>
      </c>
      <c r="F33" s="324">
        <f t="shared" ref="F33" si="3">C33+D33-E33</f>
        <v>28343.110000000004</v>
      </c>
      <c r="G33" s="284">
        <v>35000</v>
      </c>
      <c r="H33" s="273"/>
      <c r="I33" s="385"/>
      <c r="J33" s="319"/>
    </row>
    <row r="34" spans="1:16" ht="12" thickBot="1" x14ac:dyDescent="0.25">
      <c r="A34" s="310"/>
      <c r="B34" s="325" t="s">
        <v>77</v>
      </c>
      <c r="C34" s="303">
        <f>'June 2021'!F34</f>
        <v>22675.159999999993</v>
      </c>
      <c r="D34" s="322"/>
      <c r="E34" s="305">
        <v>125.6</v>
      </c>
      <c r="F34" s="324">
        <f>C34+D34-E34</f>
        <v>22549.559999999994</v>
      </c>
      <c r="G34" s="284"/>
      <c r="H34" s="273"/>
      <c r="I34" s="293"/>
      <c r="J34" s="266"/>
      <c r="P34" s="326"/>
    </row>
    <row r="35" spans="1:16" ht="12" thickBot="1" x14ac:dyDescent="0.25">
      <c r="A35" s="794" t="s">
        <v>11</v>
      </c>
      <c r="B35" s="795"/>
      <c r="C35" s="327">
        <f>C6+C17+C23+C31-324.97</f>
        <v>470968.99000000005</v>
      </c>
      <c r="D35" s="328">
        <f>SUM(D23,D17,D6,D31)</f>
        <v>32651.670000000002</v>
      </c>
      <c r="E35" s="328">
        <f>SUM(E23,E17,E6,E31)</f>
        <v>35913.179999999993</v>
      </c>
      <c r="F35" s="329">
        <f>SUM(F23,F17,F6,F31)-324.97</f>
        <v>467707.00000000006</v>
      </c>
      <c r="G35" s="330">
        <f>SUM(G6,G16,G23,G31)</f>
        <v>105450</v>
      </c>
      <c r="H35" s="385"/>
      <c r="I35" s="385"/>
      <c r="J35" s="331"/>
    </row>
    <row r="36" spans="1:16" hidden="1" x14ac:dyDescent="0.2">
      <c r="A36" s="388"/>
      <c r="B36" s="383"/>
      <c r="C36" s="385">
        <f>SUM(C17:C22)</f>
        <v>-63570.180000000008</v>
      </c>
      <c r="D36" s="385"/>
      <c r="E36" s="385"/>
      <c r="F36" s="385"/>
      <c r="G36" s="334"/>
      <c r="H36" s="385"/>
      <c r="K36" s="384" t="s">
        <v>12</v>
      </c>
      <c r="L36" s="384">
        <v>42.43</v>
      </c>
    </row>
    <row r="37" spans="1:16" ht="12" hidden="1" thickBot="1" x14ac:dyDescent="0.25">
      <c r="A37" s="335" t="s">
        <v>25</v>
      </c>
      <c r="B37" s="336"/>
      <c r="C37" s="337" t="e">
        <f>SUM(C35,#REF!)</f>
        <v>#REF!</v>
      </c>
      <c r="D37" s="338" t="e">
        <f>SUM(D35,#REF!)</f>
        <v>#REF!</v>
      </c>
      <c r="E37" s="338" t="e">
        <f>SUM(E35,#REF!)</f>
        <v>#REF!</v>
      </c>
      <c r="F37" s="339" t="e">
        <f>SUM(F35,#REF!)</f>
        <v>#REF!</v>
      </c>
      <c r="G37" s="334"/>
      <c r="H37" s="385"/>
      <c r="I37" s="331"/>
      <c r="J37" s="79">
        <v>206730.35</v>
      </c>
    </row>
    <row r="38" spans="1:16" ht="12" thickBot="1" x14ac:dyDescent="0.25">
      <c r="B38" s="340"/>
      <c r="C38" s="385"/>
      <c r="D38" s="385"/>
      <c r="E38" s="385"/>
      <c r="F38" s="385"/>
      <c r="G38" s="334"/>
      <c r="H38" s="341"/>
      <c r="I38" s="331"/>
      <c r="J38" s="79"/>
      <c r="P38" s="385"/>
    </row>
    <row r="39" spans="1:16" ht="12" thickBot="1" x14ac:dyDescent="0.25">
      <c r="A39" s="796" t="s">
        <v>13</v>
      </c>
      <c r="B39" s="797"/>
      <c r="C39" s="342" t="s">
        <v>2</v>
      </c>
      <c r="D39" s="342" t="s">
        <v>3</v>
      </c>
      <c r="E39" s="342" t="s">
        <v>27</v>
      </c>
      <c r="F39" s="342" t="s">
        <v>5</v>
      </c>
      <c r="G39" s="269"/>
      <c r="H39" s="331"/>
      <c r="I39" s="343"/>
    </row>
    <row r="40" spans="1:16" ht="12" thickBot="1" x14ac:dyDescent="0.25">
      <c r="A40" s="784" t="s">
        <v>14</v>
      </c>
      <c r="B40" s="785"/>
      <c r="C40" s="344">
        <f>'June 2021'!F40</f>
        <v>156.30000000000001</v>
      </c>
      <c r="D40" s="345"/>
      <c r="E40" s="345">
        <v>6</v>
      </c>
      <c r="F40" s="346">
        <f>C40+D40-E40</f>
        <v>150.30000000000001</v>
      </c>
      <c r="G40" s="385"/>
      <c r="I40" s="331"/>
      <c r="J40" s="79"/>
    </row>
    <row r="41" spans="1:16" ht="12" thickBot="1" x14ac:dyDescent="0.25">
      <c r="A41" s="798" t="s">
        <v>15</v>
      </c>
      <c r="B41" s="799"/>
      <c r="C41" s="344">
        <f>'June 2021'!F41</f>
        <v>26138.760000000006</v>
      </c>
      <c r="D41" s="347">
        <v>21000</v>
      </c>
      <c r="E41" s="347">
        <v>24290.49</v>
      </c>
      <c r="F41" s="346">
        <f t="shared" ref="F41:F46" si="4">C41+D41-E41</f>
        <v>22848.270000000008</v>
      </c>
      <c r="G41" s="385"/>
      <c r="H41" s="349"/>
      <c r="I41" s="331"/>
    </row>
    <row r="42" spans="1:16" ht="12" thickBot="1" x14ac:dyDescent="0.25">
      <c r="A42" s="350"/>
      <c r="B42" s="351" t="s">
        <v>21</v>
      </c>
      <c r="C42" s="344">
        <f>'June 2021'!F42</f>
        <v>0</v>
      </c>
      <c r="D42" s="352"/>
      <c r="E42" s="352"/>
      <c r="F42" s="346">
        <f t="shared" si="4"/>
        <v>0</v>
      </c>
      <c r="G42" s="385"/>
      <c r="H42" s="349"/>
      <c r="I42" s="79"/>
    </row>
    <row r="43" spans="1:16" ht="12" thickBot="1" x14ac:dyDescent="0.25">
      <c r="A43" s="350"/>
      <c r="B43" s="351" t="s">
        <v>40</v>
      </c>
      <c r="C43" s="344">
        <f>'June 2021'!F43</f>
        <v>-4715.0700000000006</v>
      </c>
      <c r="D43" s="353">
        <v>4213.59</v>
      </c>
      <c r="E43" s="353">
        <v>3189.38</v>
      </c>
      <c r="F43" s="346">
        <f>C43+D43-E43</f>
        <v>-3690.8600000000006</v>
      </c>
      <c r="G43" s="385"/>
      <c r="H43" s="79"/>
      <c r="I43" s="79"/>
    </row>
    <row r="44" spans="1:16" ht="12" thickBot="1" x14ac:dyDescent="0.25">
      <c r="A44" s="784" t="s">
        <v>16</v>
      </c>
      <c r="B44" s="785"/>
      <c r="C44" s="344">
        <f>'June 2021'!F44</f>
        <v>204764.79000000007</v>
      </c>
      <c r="D44" s="355">
        <v>20990.21</v>
      </c>
      <c r="E44" s="355">
        <f>21000+20</f>
        <v>21020</v>
      </c>
      <c r="F44" s="346">
        <f t="shared" si="4"/>
        <v>204735.00000000006</v>
      </c>
      <c r="G44" s="385"/>
      <c r="H44" s="79"/>
      <c r="I44" s="79"/>
    </row>
    <row r="45" spans="1:16" ht="12" thickBot="1" x14ac:dyDescent="0.25">
      <c r="A45" s="357" t="s">
        <v>46</v>
      </c>
      <c r="B45" s="358"/>
      <c r="C45" s="344">
        <f>'June 2021'!F45</f>
        <v>244624.41999999998</v>
      </c>
      <c r="D45" s="322">
        <v>50.56</v>
      </c>
      <c r="E45" s="322">
        <f>1000+10</f>
        <v>1010</v>
      </c>
      <c r="F45" s="346">
        <f t="shared" si="4"/>
        <v>243664.97999999998</v>
      </c>
      <c r="G45" s="385"/>
      <c r="H45" s="79"/>
      <c r="I45" s="79"/>
    </row>
    <row r="46" spans="1:16" ht="12" thickBot="1" x14ac:dyDescent="0.25">
      <c r="A46" s="800"/>
      <c r="B46" s="795"/>
      <c r="C46" s="360">
        <f>SUM(C40+C41+C44+C45+C43+C42)</f>
        <v>470969.2</v>
      </c>
      <c r="D46" s="361">
        <f>SUM(D40:D45)</f>
        <v>46254.36</v>
      </c>
      <c r="E46" s="361">
        <f>SUM(E40:E45)</f>
        <v>49515.87</v>
      </c>
      <c r="F46" s="346">
        <f t="shared" si="4"/>
        <v>467707.69</v>
      </c>
      <c r="G46" s="385"/>
      <c r="H46" s="331"/>
      <c r="I46" s="79"/>
      <c r="J46" s="266"/>
    </row>
    <row r="47" spans="1:16" x14ac:dyDescent="0.2">
      <c r="A47" s="388"/>
      <c r="B47" s="383"/>
      <c r="C47" s="385">
        <f>C35-C46</f>
        <v>-0.2099999999627471</v>
      </c>
      <c r="D47" s="385"/>
      <c r="E47" s="385"/>
      <c r="F47" s="385">
        <f>F35-F46</f>
        <v>-0.68999999994412065</v>
      </c>
      <c r="H47" s="385"/>
      <c r="I47" s="331"/>
      <c r="J47" s="331"/>
      <c r="K47" s="266"/>
    </row>
    <row r="48" spans="1:16" x14ac:dyDescent="0.2">
      <c r="B48" s="340"/>
      <c r="C48" s="385"/>
      <c r="D48" s="385"/>
      <c r="E48" s="385"/>
      <c r="F48" s="385"/>
      <c r="G48" s="385"/>
      <c r="H48" s="385"/>
      <c r="I48" s="331"/>
    </row>
    <row r="49" spans="1:16" x14ac:dyDescent="0.2">
      <c r="A49" s="801" t="s">
        <v>17</v>
      </c>
      <c r="B49" s="801"/>
      <c r="C49" s="801"/>
      <c r="D49" s="801"/>
      <c r="E49" s="802" t="s">
        <v>18</v>
      </c>
      <c r="F49" s="802"/>
      <c r="G49" s="385"/>
      <c r="H49" s="385"/>
      <c r="J49" s="331"/>
    </row>
    <row r="50" spans="1:16" x14ac:dyDescent="0.2">
      <c r="C50" s="385"/>
      <c r="D50" s="385"/>
      <c r="E50" s="385"/>
      <c r="F50" s="385"/>
      <c r="G50" s="385"/>
      <c r="H50" s="385"/>
    </row>
    <row r="51" spans="1:16" x14ac:dyDescent="0.2">
      <c r="A51" s="801" t="s">
        <v>19</v>
      </c>
      <c r="B51" s="801"/>
      <c r="C51" s="801"/>
      <c r="D51" s="801"/>
      <c r="E51" s="802" t="s">
        <v>18</v>
      </c>
      <c r="F51" s="802"/>
      <c r="G51" s="385"/>
      <c r="H51" s="385"/>
    </row>
    <row r="52" spans="1:16" x14ac:dyDescent="0.2">
      <c r="A52" s="388"/>
      <c r="B52" s="383"/>
      <c r="C52" s="266"/>
      <c r="D52" s="266"/>
      <c r="E52" s="266"/>
      <c r="F52" s="79"/>
      <c r="G52" s="266"/>
      <c r="H52" s="266"/>
      <c r="I52" s="331"/>
      <c r="J52" s="79"/>
      <c r="P52" s="364"/>
    </row>
    <row r="53" spans="1:16" x14ac:dyDescent="0.2">
      <c r="B53" s="340"/>
      <c r="C53" s="331"/>
      <c r="D53" s="331"/>
      <c r="E53" s="331"/>
      <c r="F53" s="331"/>
      <c r="I53" s="331"/>
      <c r="J53" s="343"/>
      <c r="L53" s="266"/>
      <c r="P53" s="364"/>
    </row>
    <row r="54" spans="1:16" x14ac:dyDescent="0.2">
      <c r="B54" s="340"/>
      <c r="C54" s="79"/>
      <c r="D54" s="331"/>
      <c r="F54" s="331"/>
      <c r="J54" s="331"/>
    </row>
  </sheetData>
  <mergeCells count="17">
    <mergeCell ref="A46:B46"/>
    <mergeCell ref="A49:D49"/>
    <mergeCell ref="E49:F49"/>
    <mergeCell ref="A51:D51"/>
    <mergeCell ref="E51:F51"/>
    <mergeCell ref="A44:B44"/>
    <mergeCell ref="A2:G2"/>
    <mergeCell ref="A3:G3"/>
    <mergeCell ref="A5:B5"/>
    <mergeCell ref="A6:B6"/>
    <mergeCell ref="A17:B17"/>
    <mergeCell ref="A23:B23"/>
    <mergeCell ref="A31:B31"/>
    <mergeCell ref="A35:B35"/>
    <mergeCell ref="A39:B39"/>
    <mergeCell ref="A40:B40"/>
    <mergeCell ref="A41:B41"/>
  </mergeCells>
  <pageMargins left="0.7" right="0.7" top="0.75" bottom="0.75" header="0.3" footer="0.3"/>
  <pageSetup orientation="portrait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2BCB3-599A-4216-AE46-D9DAB4951F66}">
  <dimension ref="A1:R54"/>
  <sheetViews>
    <sheetView topLeftCell="A2" zoomScale="130" zoomScaleNormal="130" workbookViewId="0">
      <selection activeCell="E25" sqref="E25"/>
    </sheetView>
  </sheetViews>
  <sheetFormatPr defaultColWidth="9.140625" defaultRowHeight="11.25" x14ac:dyDescent="0.2"/>
  <cols>
    <col min="1" max="1" width="10.7109375" style="393" customWidth="1"/>
    <col min="2" max="2" width="28.140625" style="393" customWidth="1"/>
    <col min="3" max="3" width="10.5703125" style="393" customWidth="1"/>
    <col min="4" max="4" width="9.42578125" style="393" customWidth="1"/>
    <col min="5" max="5" width="9.140625" style="393"/>
    <col min="6" max="6" width="10.28515625" style="393" customWidth="1"/>
    <col min="7" max="7" width="8.85546875" style="393" customWidth="1"/>
    <col min="8" max="8" width="35.85546875" style="393" bestFit="1" customWidth="1"/>
    <col min="9" max="9" width="14.7109375" style="393" customWidth="1"/>
    <col min="10" max="10" width="14.5703125" style="393" customWidth="1"/>
    <col min="11" max="11" width="11.28515625" style="393" customWidth="1"/>
    <col min="12" max="15" width="9.140625" style="393"/>
    <col min="16" max="16" width="13" style="393" customWidth="1"/>
    <col min="17" max="16384" width="9.140625" style="393"/>
  </cols>
  <sheetData>
    <row r="1" spans="1:18" hidden="1" x14ac:dyDescent="0.2"/>
    <row r="2" spans="1:18" x14ac:dyDescent="0.2">
      <c r="A2" s="786" t="s">
        <v>0</v>
      </c>
      <c r="B2" s="786"/>
      <c r="C2" s="786"/>
      <c r="D2" s="786"/>
      <c r="E2" s="786"/>
      <c r="F2" s="786"/>
      <c r="G2" s="786"/>
      <c r="H2" s="389"/>
    </row>
    <row r="3" spans="1:18" x14ac:dyDescent="0.2">
      <c r="A3" s="787" t="s">
        <v>95</v>
      </c>
      <c r="B3" s="787"/>
      <c r="C3" s="787"/>
      <c r="D3" s="787"/>
      <c r="E3" s="787"/>
      <c r="F3" s="787"/>
      <c r="G3" s="787"/>
      <c r="H3" s="390"/>
    </row>
    <row r="4" spans="1:18" ht="12" thickBot="1" x14ac:dyDescent="0.25">
      <c r="B4" s="265" t="s">
        <v>37</v>
      </c>
      <c r="F4" s="266"/>
      <c r="I4" s="267"/>
    </row>
    <row r="5" spans="1:18" x14ac:dyDescent="0.2">
      <c r="A5" s="788" t="s">
        <v>1</v>
      </c>
      <c r="B5" s="789"/>
      <c r="C5" s="268" t="s">
        <v>2</v>
      </c>
      <c r="D5" s="268" t="s">
        <v>3</v>
      </c>
      <c r="E5" s="268" t="s">
        <v>58</v>
      </c>
      <c r="F5" s="268" t="s">
        <v>5</v>
      </c>
      <c r="G5" s="268" t="s">
        <v>6</v>
      </c>
      <c r="H5" s="269"/>
      <c r="I5" s="269"/>
    </row>
    <row r="6" spans="1:18" x14ac:dyDescent="0.2">
      <c r="A6" s="790" t="s">
        <v>7</v>
      </c>
      <c r="B6" s="791"/>
      <c r="C6" s="270">
        <f>SUM(C7:C16)</f>
        <v>157346.84999999998</v>
      </c>
      <c r="D6" s="271">
        <f>SUM(D7:D16)</f>
        <v>6205.13</v>
      </c>
      <c r="E6" s="271">
        <f>SUM(E7:E16)</f>
        <v>-6475.41</v>
      </c>
      <c r="F6" s="271">
        <f>SUM(F7:F16)</f>
        <v>170027.38999999996</v>
      </c>
      <c r="G6" s="272">
        <f>SUM(G7:G15)</f>
        <v>0</v>
      </c>
      <c r="H6" s="273"/>
      <c r="I6" s="273"/>
      <c r="J6" s="273"/>
      <c r="K6" s="394"/>
      <c r="P6" s="394"/>
      <c r="R6" s="394"/>
    </row>
    <row r="7" spans="1:18" ht="12" customHeight="1" x14ac:dyDescent="0.2">
      <c r="A7" s="275"/>
      <c r="B7" s="276" t="s">
        <v>23</v>
      </c>
      <c r="C7" s="277">
        <f>'July 2021'!F7</f>
        <v>159553.27999999997</v>
      </c>
      <c r="D7" s="278">
        <f>104.13+6000</f>
        <v>6104.13</v>
      </c>
      <c r="E7" s="278">
        <f>1000+1634.1-10655.2</f>
        <v>-8021.1</v>
      </c>
      <c r="F7" s="279">
        <f>C7+D7-E7</f>
        <v>173678.50999999998</v>
      </c>
      <c r="G7" s="280"/>
      <c r="H7" s="281"/>
      <c r="I7" s="394"/>
    </row>
    <row r="8" spans="1:18" x14ac:dyDescent="0.2">
      <c r="A8" s="282"/>
      <c r="B8" s="283" t="s">
        <v>62</v>
      </c>
      <c r="C8" s="277">
        <f>'July 2021'!F8</f>
        <v>-887.86</v>
      </c>
      <c r="D8" s="284"/>
      <c r="E8" s="285">
        <v>868.44</v>
      </c>
      <c r="F8" s="286">
        <f t="shared" ref="F8:F16" si="0">C8+D8-E8</f>
        <v>-1756.3000000000002</v>
      </c>
      <c r="G8" s="280"/>
      <c r="H8" s="273"/>
      <c r="I8" s="287"/>
    </row>
    <row r="9" spans="1:18" hidden="1" x14ac:dyDescent="0.2">
      <c r="A9" s="282"/>
      <c r="B9" s="288" t="s">
        <v>67</v>
      </c>
      <c r="C9" s="277">
        <f>'July 2021'!F9</f>
        <v>0</v>
      </c>
      <c r="D9" s="284"/>
      <c r="E9" s="284"/>
      <c r="F9" s="279">
        <f t="shared" si="0"/>
        <v>0</v>
      </c>
      <c r="G9" s="280"/>
      <c r="H9" s="273"/>
      <c r="I9" s="289"/>
      <c r="J9" s="394"/>
    </row>
    <row r="10" spans="1:18" hidden="1" x14ac:dyDescent="0.2">
      <c r="A10" s="282"/>
      <c r="B10" s="288" t="s">
        <v>41</v>
      </c>
      <c r="C10" s="277">
        <f>'July 2021'!F10</f>
        <v>-1.0000000002037268E-2</v>
      </c>
      <c r="D10" s="290"/>
      <c r="E10" s="290"/>
      <c r="F10" s="286">
        <f t="shared" si="0"/>
        <v>-1.0000000002037268E-2</v>
      </c>
      <c r="G10" s="280"/>
      <c r="H10" s="273"/>
      <c r="I10" s="291"/>
      <c r="J10" s="394"/>
    </row>
    <row r="11" spans="1:18" hidden="1" x14ac:dyDescent="0.2">
      <c r="A11" s="282"/>
      <c r="B11" s="288" t="s">
        <v>29</v>
      </c>
      <c r="C11" s="277">
        <f>'July 2021'!F11</f>
        <v>0</v>
      </c>
      <c r="D11" s="292"/>
      <c r="E11" s="292"/>
      <c r="F11" s="279">
        <f t="shared" si="0"/>
        <v>0</v>
      </c>
      <c r="G11" s="280"/>
      <c r="H11" s="273"/>
      <c r="I11" s="293"/>
    </row>
    <row r="12" spans="1:18" x14ac:dyDescent="0.2">
      <c r="A12" s="282"/>
      <c r="B12" s="288" t="s">
        <v>20</v>
      </c>
      <c r="C12" s="277">
        <f>'July 2021'!F12</f>
        <v>-1338.3099999999997</v>
      </c>
      <c r="D12" s="290">
        <f>27.13+67.37</f>
        <v>94.5</v>
      </c>
      <c r="E12" s="294">
        <v>190</v>
      </c>
      <c r="F12" s="295">
        <f>C12+D12-E12</f>
        <v>-1433.8099999999997</v>
      </c>
      <c r="G12" s="280"/>
      <c r="H12" s="273"/>
      <c r="I12" s="394"/>
    </row>
    <row r="13" spans="1:18" x14ac:dyDescent="0.2">
      <c r="A13" s="282"/>
      <c r="B13" s="288" t="s">
        <v>22</v>
      </c>
      <c r="C13" s="277">
        <f>'July 2021'!F13</f>
        <v>6.6099999999999568</v>
      </c>
      <c r="D13" s="290">
        <v>6.5</v>
      </c>
      <c r="E13" s="294"/>
      <c r="F13" s="295">
        <f>C13+D13-E13</f>
        <v>13.109999999999957</v>
      </c>
      <c r="G13" s="280"/>
      <c r="H13" s="273"/>
      <c r="I13" s="394"/>
    </row>
    <row r="14" spans="1:18" x14ac:dyDescent="0.2">
      <c r="A14" s="282"/>
      <c r="B14" s="288" t="s">
        <v>28</v>
      </c>
      <c r="C14" s="277">
        <f>'July 2021'!F14</f>
        <v>-364.98000000000104</v>
      </c>
      <c r="D14" s="294"/>
      <c r="E14" s="290">
        <v>452.16</v>
      </c>
      <c r="F14" s="286">
        <f t="shared" si="0"/>
        <v>-817.14000000000101</v>
      </c>
      <c r="G14" s="280"/>
      <c r="H14" s="273"/>
      <c r="I14" s="394"/>
    </row>
    <row r="15" spans="1:18" x14ac:dyDescent="0.2">
      <c r="A15" s="282"/>
      <c r="B15" s="296" t="s">
        <v>42</v>
      </c>
      <c r="C15" s="277">
        <f>'July 2021'!F15</f>
        <v>869.7</v>
      </c>
      <c r="D15" s="284"/>
      <c r="E15" s="284"/>
      <c r="F15" s="297">
        <f t="shared" si="0"/>
        <v>869.7</v>
      </c>
      <c r="G15" s="280"/>
      <c r="H15" s="273"/>
      <c r="I15" s="394"/>
    </row>
    <row r="16" spans="1:18" x14ac:dyDescent="0.2">
      <c r="A16" s="282"/>
      <c r="B16" s="296" t="s">
        <v>43</v>
      </c>
      <c r="C16" s="277">
        <f>'July 2021'!F16</f>
        <v>-491.58000000000027</v>
      </c>
      <c r="D16" s="284"/>
      <c r="E16" s="284">
        <v>35.090000000000003</v>
      </c>
      <c r="F16" s="295">
        <f t="shared" si="0"/>
        <v>-526.6700000000003</v>
      </c>
      <c r="G16" s="280"/>
      <c r="H16" s="273"/>
      <c r="I16" s="273"/>
      <c r="P16" s="394"/>
    </row>
    <row r="17" spans="1:16" x14ac:dyDescent="0.2">
      <c r="A17" s="792" t="s">
        <v>53</v>
      </c>
      <c r="B17" s="793"/>
      <c r="C17" s="298">
        <f>SUM(C18:C22)</f>
        <v>-11742.28</v>
      </c>
      <c r="D17" s="299">
        <f>SUM(D18:D22)</f>
        <v>0</v>
      </c>
      <c r="E17" s="299">
        <f>SUM(E18:E22)</f>
        <v>5099.83</v>
      </c>
      <c r="F17" s="286">
        <f>SUM(F18:F22)</f>
        <v>-16842.11</v>
      </c>
      <c r="G17" s="300"/>
      <c r="H17" s="273"/>
      <c r="I17" s="273"/>
      <c r="P17" s="394"/>
    </row>
    <row r="18" spans="1:16" x14ac:dyDescent="0.2">
      <c r="A18" s="301"/>
      <c r="B18" s="302" t="s">
        <v>9</v>
      </c>
      <c r="C18" s="303">
        <f>'July 2021'!F18</f>
        <v>445.70999999999913</v>
      </c>
      <c r="D18" s="304"/>
      <c r="E18" s="305"/>
      <c r="F18" s="306">
        <f>C18+D18-E18</f>
        <v>445.70999999999913</v>
      </c>
      <c r="G18" s="284"/>
      <c r="H18" s="273"/>
      <c r="I18" s="394"/>
      <c r="J18" s="79"/>
    </row>
    <row r="19" spans="1:16" x14ac:dyDescent="0.2">
      <c r="A19" s="282"/>
      <c r="B19" s="307" t="s">
        <v>8</v>
      </c>
      <c r="C19" s="303">
        <f>'July 2021'!F19</f>
        <v>-7141.17</v>
      </c>
      <c r="D19" s="294"/>
      <c r="E19" s="290">
        <f>3803.76+546.62</f>
        <v>4350.38</v>
      </c>
      <c r="F19" s="306">
        <f>C19+D19-E19</f>
        <v>-11491.55</v>
      </c>
      <c r="G19" s="308"/>
      <c r="H19" s="273"/>
      <c r="I19" s="394"/>
    </row>
    <row r="20" spans="1:16" x14ac:dyDescent="0.2">
      <c r="A20" s="282"/>
      <c r="B20" s="307" t="s">
        <v>32</v>
      </c>
      <c r="C20" s="303">
        <f>'July 2021'!F20</f>
        <v>1610.0199999999998</v>
      </c>
      <c r="D20" s="294"/>
      <c r="E20" s="290">
        <v>455.55</v>
      </c>
      <c r="F20" s="306">
        <f t="shared" ref="F20:F22" si="1">C20+D20-E20</f>
        <v>1154.4699999999998</v>
      </c>
      <c r="G20" s="309"/>
      <c r="H20" s="273"/>
      <c r="I20" s="394"/>
    </row>
    <row r="21" spans="1:16" hidden="1" x14ac:dyDescent="0.2">
      <c r="A21" s="282"/>
      <c r="B21" s="307" t="s">
        <v>67</v>
      </c>
      <c r="C21" s="303">
        <f>'July 2021'!F21</f>
        <v>-9.0951551845463996E-15</v>
      </c>
      <c r="D21" s="294"/>
      <c r="E21" s="294"/>
      <c r="F21" s="306">
        <f t="shared" si="1"/>
        <v>-9.0951551845463996E-15</v>
      </c>
      <c r="G21" s="309"/>
      <c r="H21" s="273"/>
      <c r="I21" s="394"/>
    </row>
    <row r="22" spans="1:16" x14ac:dyDescent="0.2">
      <c r="A22" s="310"/>
      <c r="B22" s="311" t="s">
        <v>38</v>
      </c>
      <c r="C22" s="303">
        <f>'July 2021'!F22</f>
        <v>-6656.8399999999992</v>
      </c>
      <c r="D22" s="312"/>
      <c r="E22" s="305">
        <v>293.89999999999998</v>
      </c>
      <c r="F22" s="306">
        <f t="shared" si="1"/>
        <v>-6950.7399999999989</v>
      </c>
      <c r="G22" s="284">
        <v>8500</v>
      </c>
      <c r="H22" s="273"/>
      <c r="I22" s="394"/>
      <c r="J22" s="79"/>
    </row>
    <row r="23" spans="1:16" x14ac:dyDescent="0.2">
      <c r="A23" s="790" t="s">
        <v>10</v>
      </c>
      <c r="B23" s="791"/>
      <c r="C23" s="298">
        <f>SUM(C24:C30)</f>
        <v>252556.33000000002</v>
      </c>
      <c r="D23" s="313">
        <f>SUM(D24:D30)</f>
        <v>450</v>
      </c>
      <c r="E23" s="314">
        <f>SUM(E24:E30)</f>
        <v>19717.510000000002</v>
      </c>
      <c r="F23" s="314">
        <f>SUM(F24:F30)</f>
        <v>233288.82</v>
      </c>
      <c r="G23" s="315">
        <f>SUM(G30:G34)</f>
        <v>70000</v>
      </c>
      <c r="H23" s="273"/>
      <c r="I23" s="273"/>
      <c r="P23" s="394"/>
    </row>
    <row r="24" spans="1:16" hidden="1" x14ac:dyDescent="0.2">
      <c r="A24" s="301"/>
      <c r="B24" s="316" t="s">
        <v>55</v>
      </c>
      <c r="C24" s="303">
        <f>'February 2021'!G24</f>
        <v>0</v>
      </c>
      <c r="D24" s="317"/>
      <c r="E24" s="304"/>
      <c r="F24" s="318">
        <f>C24+D24-E24</f>
        <v>0</v>
      </c>
      <c r="G24" s="278"/>
      <c r="H24" s="273"/>
      <c r="I24" s="394"/>
      <c r="J24" s="319"/>
    </row>
    <row r="25" spans="1:16" x14ac:dyDescent="0.2">
      <c r="A25" s="310"/>
      <c r="B25" s="296" t="s">
        <v>70</v>
      </c>
      <c r="C25" s="303">
        <f>'July 2021'!F25</f>
        <v>14330.89</v>
      </c>
      <c r="D25" s="312"/>
      <c r="E25" s="312">
        <v>4526.0600000000004</v>
      </c>
      <c r="F25" s="318">
        <f>C25+D25-E25</f>
        <v>9804.8299999999981</v>
      </c>
      <c r="G25" s="284"/>
      <c r="H25" s="273"/>
      <c r="I25" s="394"/>
      <c r="J25" s="319"/>
    </row>
    <row r="26" spans="1:16" hidden="1" x14ac:dyDescent="0.2">
      <c r="A26" s="275"/>
      <c r="B26" s="320" t="s">
        <v>34</v>
      </c>
      <c r="C26" s="303">
        <f>'July 2021'!F26</f>
        <v>5.4569682106375694E-12</v>
      </c>
      <c r="D26" s="305"/>
      <c r="E26" s="321"/>
      <c r="F26" s="318">
        <f t="shared" ref="F26:F30" si="2">C26+D26-E26</f>
        <v>5.4569682106375694E-12</v>
      </c>
      <c r="G26" s="284"/>
      <c r="H26" s="273"/>
      <c r="I26" s="394"/>
      <c r="J26" s="394"/>
    </row>
    <row r="27" spans="1:16" x14ac:dyDescent="0.2">
      <c r="A27" s="275"/>
      <c r="B27" s="320" t="s">
        <v>39</v>
      </c>
      <c r="C27" s="303">
        <f>'July 2021'!F27</f>
        <v>8.1854523159563541E-12</v>
      </c>
      <c r="D27" s="312"/>
      <c r="E27" s="305"/>
      <c r="F27" s="318">
        <f t="shared" si="2"/>
        <v>8.1854523159563541E-12</v>
      </c>
      <c r="G27" s="284"/>
      <c r="H27" s="273"/>
      <c r="I27" s="394"/>
      <c r="J27" s="394"/>
    </row>
    <row r="28" spans="1:16" x14ac:dyDescent="0.2">
      <c r="A28" s="275"/>
      <c r="B28" s="320" t="s">
        <v>65</v>
      </c>
      <c r="C28" s="303">
        <f>'July 2021'!F28</f>
        <v>103733.44</v>
      </c>
      <c r="D28" s="312"/>
      <c r="E28" s="312">
        <v>15191.45</v>
      </c>
      <c r="F28" s="318">
        <f t="shared" si="2"/>
        <v>88541.99</v>
      </c>
      <c r="G28" s="284"/>
      <c r="H28" s="273"/>
      <c r="I28" s="394"/>
      <c r="J28" s="394"/>
    </row>
    <row r="29" spans="1:16" x14ac:dyDescent="0.2">
      <c r="A29" s="275"/>
      <c r="B29" s="320" t="s">
        <v>86</v>
      </c>
      <c r="C29" s="303">
        <f>'July 2021'!F29</f>
        <v>134492</v>
      </c>
      <c r="D29" s="312"/>
      <c r="E29" s="312"/>
      <c r="F29" s="318">
        <f t="shared" si="2"/>
        <v>134492</v>
      </c>
      <c r="G29" s="284"/>
      <c r="H29" s="273"/>
      <c r="I29" s="394"/>
      <c r="J29" s="394"/>
    </row>
    <row r="30" spans="1:16" x14ac:dyDescent="0.2">
      <c r="A30" s="310"/>
      <c r="B30" s="296" t="s">
        <v>44</v>
      </c>
      <c r="C30" s="303">
        <f>'July 2021'!F30</f>
        <v>1.4210854715202004E-14</v>
      </c>
      <c r="D30" s="312">
        <v>450</v>
      </c>
      <c r="E30" s="305"/>
      <c r="F30" s="318">
        <f t="shared" si="2"/>
        <v>450</v>
      </c>
      <c r="G30" s="284"/>
      <c r="H30" s="273"/>
      <c r="I30" s="394"/>
      <c r="J30" s="319"/>
    </row>
    <row r="31" spans="1:16" x14ac:dyDescent="0.2">
      <c r="A31" s="790" t="s">
        <v>35</v>
      </c>
      <c r="B31" s="791"/>
      <c r="C31" s="298">
        <f>SUM(C32:C34)</f>
        <v>69871.069999999992</v>
      </c>
      <c r="D31" s="313">
        <f>SUM(D32:D34)</f>
        <v>0</v>
      </c>
      <c r="E31" s="314">
        <f>SUM(E32:E34)</f>
        <v>264.51</v>
      </c>
      <c r="F31" s="314">
        <f>SUM(F32:F34)</f>
        <v>69606.080000000002</v>
      </c>
      <c r="G31" s="315">
        <f>SUM(G32:G34)</f>
        <v>35000</v>
      </c>
      <c r="H31" s="273"/>
      <c r="I31" s="273"/>
      <c r="P31" s="394"/>
    </row>
    <row r="32" spans="1:16" x14ac:dyDescent="0.2">
      <c r="A32" s="310"/>
      <c r="B32" s="296" t="s">
        <v>78</v>
      </c>
      <c r="C32" s="303">
        <f>'July 2021'!F32</f>
        <v>18978.399999999998</v>
      </c>
      <c r="D32" s="322"/>
      <c r="E32" s="323"/>
      <c r="F32" s="324">
        <f>C32+D32-E32-0.48</f>
        <v>18977.919999999998</v>
      </c>
      <c r="G32" s="284"/>
      <c r="H32" s="273"/>
      <c r="I32" s="394"/>
      <c r="J32" s="319"/>
    </row>
    <row r="33" spans="1:16" x14ac:dyDescent="0.2">
      <c r="A33" s="310"/>
      <c r="B33" s="296" t="s">
        <v>90</v>
      </c>
      <c r="C33" s="303">
        <f>'July 2021'!F33</f>
        <v>28343.110000000004</v>
      </c>
      <c r="D33" s="322"/>
      <c r="E33" s="323">
        <v>264.51</v>
      </c>
      <c r="F33" s="324">
        <f t="shared" ref="F33" si="3">C33+D33-E33</f>
        <v>28078.600000000006</v>
      </c>
      <c r="G33" s="284">
        <v>35000</v>
      </c>
      <c r="H33" s="273"/>
      <c r="I33" s="394"/>
      <c r="J33" s="319"/>
    </row>
    <row r="34" spans="1:16" ht="12" thickBot="1" x14ac:dyDescent="0.25">
      <c r="A34" s="310"/>
      <c r="B34" s="325" t="s">
        <v>77</v>
      </c>
      <c r="C34" s="303">
        <f>'July 2021'!F34</f>
        <v>22549.559999999994</v>
      </c>
      <c r="D34" s="322"/>
      <c r="E34" s="305"/>
      <c r="F34" s="324">
        <f>C34+D34-E34</f>
        <v>22549.559999999994</v>
      </c>
      <c r="G34" s="284"/>
      <c r="H34" s="273"/>
      <c r="I34" s="293"/>
      <c r="J34" s="266"/>
      <c r="P34" s="326"/>
    </row>
    <row r="35" spans="1:16" ht="12" thickBot="1" x14ac:dyDescent="0.25">
      <c r="A35" s="794" t="s">
        <v>11</v>
      </c>
      <c r="B35" s="795"/>
      <c r="C35" s="327">
        <f>C6+C17+C23+C31-324.97</f>
        <v>467707.00000000006</v>
      </c>
      <c r="D35" s="328">
        <f>SUM(D23,D17,D6,D31)</f>
        <v>6655.13</v>
      </c>
      <c r="E35" s="328">
        <f>SUM(E23,E17,E6,E31)</f>
        <v>18606.440000000002</v>
      </c>
      <c r="F35" s="329">
        <f>SUM(F23,F17,F6,F31)-324.97</f>
        <v>455755.21</v>
      </c>
      <c r="G35" s="330">
        <f>SUM(G6,G16,G23,G31)</f>
        <v>105000</v>
      </c>
      <c r="H35" s="394"/>
      <c r="I35" s="394"/>
      <c r="J35" s="331"/>
    </row>
    <row r="36" spans="1:16" hidden="1" x14ac:dyDescent="0.2">
      <c r="A36" s="391"/>
      <c r="B36" s="392"/>
      <c r="C36" s="394">
        <f>SUM(C17:C22)</f>
        <v>-23484.560000000001</v>
      </c>
      <c r="D36" s="394"/>
      <c r="E36" s="394"/>
      <c r="F36" s="394"/>
      <c r="G36" s="334"/>
      <c r="H36" s="394"/>
      <c r="K36" s="393" t="s">
        <v>12</v>
      </c>
      <c r="L36" s="393">
        <v>42.43</v>
      </c>
    </row>
    <row r="37" spans="1:16" ht="12" hidden="1" thickBot="1" x14ac:dyDescent="0.25">
      <c r="A37" s="335" t="s">
        <v>25</v>
      </c>
      <c r="B37" s="336"/>
      <c r="C37" s="337" t="e">
        <f>SUM(C35,#REF!)</f>
        <v>#REF!</v>
      </c>
      <c r="D37" s="338" t="e">
        <f>SUM(D35,#REF!)</f>
        <v>#REF!</v>
      </c>
      <c r="E37" s="338" t="e">
        <f>SUM(E35,#REF!)</f>
        <v>#REF!</v>
      </c>
      <c r="F37" s="339" t="e">
        <f>SUM(F35,#REF!)</f>
        <v>#REF!</v>
      </c>
      <c r="G37" s="334"/>
      <c r="H37" s="394"/>
      <c r="I37" s="331"/>
      <c r="J37" s="79">
        <v>206730.35</v>
      </c>
    </row>
    <row r="38" spans="1:16" ht="12" thickBot="1" x14ac:dyDescent="0.25">
      <c r="B38" s="340"/>
      <c r="C38" s="394"/>
      <c r="D38" s="394"/>
      <c r="E38" s="394"/>
      <c r="F38" s="394"/>
      <c r="G38" s="334"/>
      <c r="H38" s="341"/>
      <c r="I38" s="331"/>
      <c r="J38" s="79"/>
      <c r="P38" s="394"/>
    </row>
    <row r="39" spans="1:16" ht="12" thickBot="1" x14ac:dyDescent="0.25">
      <c r="A39" s="796" t="s">
        <v>13</v>
      </c>
      <c r="B39" s="797"/>
      <c r="C39" s="342" t="s">
        <v>2</v>
      </c>
      <c r="D39" s="342" t="s">
        <v>3</v>
      </c>
      <c r="E39" s="342" t="s">
        <v>27</v>
      </c>
      <c r="F39" s="342" t="s">
        <v>5</v>
      </c>
      <c r="G39" s="269"/>
      <c r="H39" s="331"/>
      <c r="I39" s="343"/>
    </row>
    <row r="40" spans="1:16" ht="12" thickBot="1" x14ac:dyDescent="0.25">
      <c r="A40" s="784" t="s">
        <v>14</v>
      </c>
      <c r="B40" s="785"/>
      <c r="C40" s="344">
        <f>'July 2021'!F40</f>
        <v>150.30000000000001</v>
      </c>
      <c r="D40" s="345"/>
      <c r="E40" s="345">
        <v>10.4</v>
      </c>
      <c r="F40" s="346">
        <f>C40+D40-E40</f>
        <v>139.9</v>
      </c>
      <c r="G40" s="394"/>
      <c r="I40" s="331"/>
      <c r="J40" s="79"/>
    </row>
    <row r="41" spans="1:16" ht="12" thickBot="1" x14ac:dyDescent="0.25">
      <c r="A41" s="798" t="s">
        <v>15</v>
      </c>
      <c r="B41" s="799"/>
      <c r="C41" s="344">
        <f>'July 2021'!F41</f>
        <v>22848.270000000008</v>
      </c>
      <c r="D41" s="347">
        <v>14000</v>
      </c>
      <c r="E41" s="347">
        <v>25273.119999999999</v>
      </c>
      <c r="F41" s="346">
        <f t="shared" ref="F41:F46" si="4">C41+D41-E41</f>
        <v>11575.150000000005</v>
      </c>
      <c r="G41" s="394"/>
      <c r="H41" s="349"/>
      <c r="I41" s="331"/>
    </row>
    <row r="42" spans="1:16" ht="12" thickBot="1" x14ac:dyDescent="0.25">
      <c r="A42" s="350"/>
      <c r="B42" s="351" t="s">
        <v>21</v>
      </c>
      <c r="C42" s="344">
        <f>'July 2021'!F42</f>
        <v>0</v>
      </c>
      <c r="D42" s="352"/>
      <c r="E42" s="352"/>
      <c r="F42" s="346">
        <f t="shared" si="4"/>
        <v>0</v>
      </c>
      <c r="G42" s="394"/>
      <c r="H42" s="349"/>
      <c r="I42" s="79"/>
    </row>
    <row r="43" spans="1:16" ht="12" thickBot="1" x14ac:dyDescent="0.25">
      <c r="A43" s="350"/>
      <c r="B43" s="351" t="s">
        <v>40</v>
      </c>
      <c r="C43" s="344">
        <f>'July 2021'!F43</f>
        <v>-3690.8600000000006</v>
      </c>
      <c r="D43" s="353">
        <v>3189.39</v>
      </c>
      <c r="E43" s="353">
        <v>1793.84</v>
      </c>
      <c r="F43" s="346">
        <f>C43+D43-E43</f>
        <v>-2295.3100000000004</v>
      </c>
      <c r="G43" s="394"/>
      <c r="H43" s="79"/>
      <c r="I43" s="79"/>
    </row>
    <row r="44" spans="1:16" ht="12" thickBot="1" x14ac:dyDescent="0.25">
      <c r="A44" s="784" t="s">
        <v>16</v>
      </c>
      <c r="B44" s="785"/>
      <c r="C44" s="344">
        <f>'July 2021'!F44</f>
        <v>204735.00000000006</v>
      </c>
      <c r="D44" s="355">
        <v>12916.12</v>
      </c>
      <c r="E44" s="355">
        <f>14000+20</f>
        <v>14020</v>
      </c>
      <c r="F44" s="346">
        <f t="shared" si="4"/>
        <v>203631.12000000005</v>
      </c>
      <c r="G44" s="394"/>
      <c r="H44" s="79"/>
      <c r="I44" s="79"/>
    </row>
    <row r="45" spans="1:16" ht="12" thickBot="1" x14ac:dyDescent="0.25">
      <c r="A45" s="357" t="s">
        <v>46</v>
      </c>
      <c r="B45" s="358"/>
      <c r="C45" s="344">
        <f>'July 2021'!F45</f>
        <v>243664.97999999998</v>
      </c>
      <c r="D45" s="322">
        <v>50.57</v>
      </c>
      <c r="E45" s="322">
        <f>1000+10</f>
        <v>1010</v>
      </c>
      <c r="F45" s="346">
        <f t="shared" si="4"/>
        <v>242705.55</v>
      </c>
      <c r="G45" s="394"/>
      <c r="H45" s="79"/>
      <c r="I45" s="79"/>
    </row>
    <row r="46" spans="1:16" ht="12" thickBot="1" x14ac:dyDescent="0.25">
      <c r="A46" s="800"/>
      <c r="B46" s="795"/>
      <c r="C46" s="360">
        <f>SUM(C40+C41+C44+C45+C43+C42)</f>
        <v>467707.69000000006</v>
      </c>
      <c r="D46" s="361">
        <f>SUM(D40:D45)</f>
        <v>30156.080000000002</v>
      </c>
      <c r="E46" s="361">
        <f>SUM(E40:E45)</f>
        <v>42107.360000000001</v>
      </c>
      <c r="F46" s="346">
        <f t="shared" si="4"/>
        <v>455756.41000000009</v>
      </c>
      <c r="G46" s="394"/>
      <c r="H46" s="331"/>
      <c r="I46" s="79"/>
      <c r="J46" s="266"/>
    </row>
    <row r="47" spans="1:16" x14ac:dyDescent="0.2">
      <c r="A47" s="391"/>
      <c r="B47" s="392"/>
      <c r="C47" s="394">
        <f>C35-C46</f>
        <v>-0.69000000000232831</v>
      </c>
      <c r="D47" s="394"/>
      <c r="E47" s="394"/>
      <c r="F47" s="394">
        <f>F35-F46</f>
        <v>-1.2000000000698492</v>
      </c>
      <c r="H47" s="394"/>
      <c r="I47" s="331"/>
      <c r="J47" s="331"/>
      <c r="K47" s="266"/>
    </row>
    <row r="48" spans="1:16" x14ac:dyDescent="0.2">
      <c r="B48" s="340"/>
      <c r="C48" s="394"/>
      <c r="D48" s="394"/>
      <c r="E48" s="394"/>
      <c r="F48" s="394"/>
      <c r="G48" s="394"/>
      <c r="H48" s="394"/>
      <c r="I48" s="331"/>
    </row>
    <row r="49" spans="1:16" x14ac:dyDescent="0.2">
      <c r="A49" s="801" t="s">
        <v>17</v>
      </c>
      <c r="B49" s="801"/>
      <c r="C49" s="801"/>
      <c r="D49" s="801"/>
      <c r="E49" s="802" t="s">
        <v>18</v>
      </c>
      <c r="F49" s="802"/>
      <c r="G49" s="394"/>
      <c r="H49" s="394"/>
      <c r="J49" s="331"/>
    </row>
    <row r="50" spans="1:16" x14ac:dyDescent="0.2">
      <c r="C50" s="394"/>
      <c r="D50" s="394"/>
      <c r="E50" s="394"/>
      <c r="F50" s="394"/>
      <c r="G50" s="394"/>
      <c r="H50" s="394"/>
    </row>
    <row r="51" spans="1:16" x14ac:dyDescent="0.2">
      <c r="A51" s="801" t="s">
        <v>19</v>
      </c>
      <c r="B51" s="801"/>
      <c r="C51" s="801"/>
      <c r="D51" s="801"/>
      <c r="E51" s="802" t="s">
        <v>18</v>
      </c>
      <c r="F51" s="802"/>
      <c r="G51" s="394"/>
      <c r="H51" s="394"/>
    </row>
    <row r="52" spans="1:16" x14ac:dyDescent="0.2">
      <c r="A52" s="391"/>
      <c r="B52" s="392"/>
      <c r="C52" s="266"/>
      <c r="D52" s="266"/>
      <c r="E52" s="266"/>
      <c r="F52" s="79"/>
      <c r="G52" s="266"/>
      <c r="H52" s="266"/>
      <c r="I52" s="331"/>
      <c r="J52" s="79"/>
      <c r="P52" s="364"/>
    </row>
    <row r="53" spans="1:16" x14ac:dyDescent="0.2">
      <c r="B53" s="340"/>
      <c r="C53" s="331"/>
      <c r="D53" s="331"/>
      <c r="E53" s="331"/>
      <c r="F53" s="331"/>
      <c r="I53" s="331"/>
      <c r="J53" s="343"/>
      <c r="L53" s="266"/>
      <c r="P53" s="364"/>
    </row>
    <row r="54" spans="1:16" x14ac:dyDescent="0.2">
      <c r="B54" s="340"/>
      <c r="C54" s="79"/>
      <c r="D54" s="331"/>
      <c r="F54" s="331"/>
      <c r="J54" s="331"/>
    </row>
  </sheetData>
  <mergeCells count="17">
    <mergeCell ref="A44:B44"/>
    <mergeCell ref="A2:G2"/>
    <mergeCell ref="A3:G3"/>
    <mergeCell ref="A5:B5"/>
    <mergeCell ref="A6:B6"/>
    <mergeCell ref="A17:B17"/>
    <mergeCell ref="A23:B23"/>
    <mergeCell ref="A31:B31"/>
    <mergeCell ref="A35:B35"/>
    <mergeCell ref="A39:B39"/>
    <mergeCell ref="A40:B40"/>
    <mergeCell ref="A41:B41"/>
    <mergeCell ref="A46:B46"/>
    <mergeCell ref="A49:D49"/>
    <mergeCell ref="E49:F49"/>
    <mergeCell ref="A51:D51"/>
    <mergeCell ref="E51:F51"/>
  </mergeCells>
  <pageMargins left="0.7" right="0.7" top="0.75" bottom="0.75" header="0.3" footer="0.3"/>
  <pageSetup orientation="portrait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30A33-5DFF-4D31-A716-CAAA3D05D100}">
  <dimension ref="A1:R54"/>
  <sheetViews>
    <sheetView topLeftCell="A12" zoomScale="130" zoomScaleNormal="130" workbookViewId="0">
      <selection activeCell="E13" sqref="E13"/>
    </sheetView>
  </sheetViews>
  <sheetFormatPr defaultColWidth="9.140625" defaultRowHeight="11.25" x14ac:dyDescent="0.2"/>
  <cols>
    <col min="1" max="1" width="10.7109375" style="399" customWidth="1"/>
    <col min="2" max="2" width="28.140625" style="399" customWidth="1"/>
    <col min="3" max="3" width="10.5703125" style="399" customWidth="1"/>
    <col min="4" max="4" width="9.42578125" style="399" customWidth="1"/>
    <col min="5" max="5" width="9.140625" style="399"/>
    <col min="6" max="6" width="10.28515625" style="399" customWidth="1"/>
    <col min="7" max="7" width="8.85546875" style="399" customWidth="1"/>
    <col min="8" max="8" width="35.85546875" style="399" bestFit="1" customWidth="1"/>
    <col min="9" max="9" width="14.7109375" style="399" customWidth="1"/>
    <col min="10" max="10" width="14.5703125" style="399" customWidth="1"/>
    <col min="11" max="11" width="11.28515625" style="399" customWidth="1"/>
    <col min="12" max="15" width="9.140625" style="399"/>
    <col min="16" max="16" width="13" style="399" customWidth="1"/>
    <col min="17" max="16384" width="9.140625" style="399"/>
  </cols>
  <sheetData>
    <row r="1" spans="1:18" hidden="1" x14ac:dyDescent="0.2"/>
    <row r="2" spans="1:18" x14ac:dyDescent="0.2">
      <c r="A2" s="786" t="s">
        <v>0</v>
      </c>
      <c r="B2" s="786"/>
      <c r="C2" s="786"/>
      <c r="D2" s="786"/>
      <c r="E2" s="786"/>
      <c r="F2" s="786"/>
      <c r="G2" s="786"/>
      <c r="H2" s="395"/>
    </row>
    <row r="3" spans="1:18" x14ac:dyDescent="0.2">
      <c r="A3" s="787" t="s">
        <v>96</v>
      </c>
      <c r="B3" s="787"/>
      <c r="C3" s="787"/>
      <c r="D3" s="787"/>
      <c r="E3" s="787"/>
      <c r="F3" s="787"/>
      <c r="G3" s="787"/>
      <c r="H3" s="396"/>
    </row>
    <row r="4" spans="1:18" ht="12" thickBot="1" x14ac:dyDescent="0.25">
      <c r="B4" s="265" t="s">
        <v>37</v>
      </c>
      <c r="F4" s="266"/>
      <c r="I4" s="267"/>
    </row>
    <row r="5" spans="1:18" x14ac:dyDescent="0.2">
      <c r="A5" s="788" t="s">
        <v>1</v>
      </c>
      <c r="B5" s="789"/>
      <c r="C5" s="268" t="s">
        <v>2</v>
      </c>
      <c r="D5" s="268" t="s">
        <v>3</v>
      </c>
      <c r="E5" s="268" t="s">
        <v>58</v>
      </c>
      <c r="F5" s="268" t="s">
        <v>5</v>
      </c>
      <c r="G5" s="268" t="s">
        <v>6</v>
      </c>
      <c r="H5" s="269"/>
      <c r="I5" s="269"/>
    </row>
    <row r="6" spans="1:18" x14ac:dyDescent="0.2">
      <c r="A6" s="790" t="s">
        <v>7</v>
      </c>
      <c r="B6" s="791"/>
      <c r="C6" s="270">
        <f>SUM(C7:C16)</f>
        <v>170027.38999999996</v>
      </c>
      <c r="D6" s="271">
        <f>SUM(D7:D16)</f>
        <v>1319.62</v>
      </c>
      <c r="E6" s="271">
        <f>SUM(E7:E16)</f>
        <v>-4492.2400000000007</v>
      </c>
      <c r="F6" s="271">
        <f>SUM(F7:F16)</f>
        <v>175839.24999999994</v>
      </c>
      <c r="G6" s="272">
        <f>SUM(G7:G15)</f>
        <v>0</v>
      </c>
      <c r="H6" s="273"/>
      <c r="I6" s="273"/>
      <c r="J6" s="273"/>
      <c r="K6" s="400"/>
      <c r="P6" s="400"/>
      <c r="R6" s="400"/>
    </row>
    <row r="7" spans="1:18" ht="12" customHeight="1" x14ac:dyDescent="0.2">
      <c r="A7" s="275"/>
      <c r="B7" s="276" t="s">
        <v>23</v>
      </c>
      <c r="C7" s="277">
        <f>'August 2021'!F7</f>
        <v>173678.50999999998</v>
      </c>
      <c r="D7" s="278">
        <f>95.62+900</f>
        <v>995.62</v>
      </c>
      <c r="E7" s="278">
        <f>1000+507.42+2327.11+433.34-11689.52</f>
        <v>-7421.6500000000005</v>
      </c>
      <c r="F7" s="279">
        <f>C7+D7-E7</f>
        <v>182095.77999999997</v>
      </c>
      <c r="G7" s="280"/>
      <c r="H7" s="281"/>
      <c r="I7" s="400"/>
    </row>
    <row r="8" spans="1:18" x14ac:dyDescent="0.2">
      <c r="A8" s="282"/>
      <c r="B8" s="283" t="s">
        <v>62</v>
      </c>
      <c r="C8" s="277">
        <f>'August 2021'!F8</f>
        <v>-1756.3000000000002</v>
      </c>
      <c r="D8" s="284"/>
      <c r="E8" s="285">
        <v>1649.16</v>
      </c>
      <c r="F8" s="286">
        <f t="shared" ref="F8:F16" si="0">C8+D8-E8</f>
        <v>-3405.46</v>
      </c>
      <c r="G8" s="280"/>
      <c r="H8" s="273"/>
      <c r="I8" s="287"/>
    </row>
    <row r="9" spans="1:18" hidden="1" x14ac:dyDescent="0.2">
      <c r="A9" s="282"/>
      <c r="B9" s="288" t="s">
        <v>67</v>
      </c>
      <c r="C9" s="277">
        <f>'August 2021'!F9</f>
        <v>0</v>
      </c>
      <c r="D9" s="284"/>
      <c r="E9" s="284"/>
      <c r="F9" s="279">
        <f t="shared" si="0"/>
        <v>0</v>
      </c>
      <c r="G9" s="280"/>
      <c r="H9" s="273"/>
      <c r="I9" s="289"/>
      <c r="J9" s="400"/>
    </row>
    <row r="10" spans="1:18" hidden="1" x14ac:dyDescent="0.2">
      <c r="A10" s="282"/>
      <c r="B10" s="288" t="s">
        <v>41</v>
      </c>
      <c r="C10" s="277">
        <f>'August 2021'!F10</f>
        <v>-1.0000000002037268E-2</v>
      </c>
      <c r="D10" s="290"/>
      <c r="E10" s="290"/>
      <c r="F10" s="286">
        <f t="shared" si="0"/>
        <v>-1.0000000002037268E-2</v>
      </c>
      <c r="G10" s="280"/>
      <c r="H10" s="273"/>
      <c r="I10" s="291"/>
      <c r="J10" s="400"/>
    </row>
    <row r="11" spans="1:18" hidden="1" x14ac:dyDescent="0.2">
      <c r="A11" s="282"/>
      <c r="B11" s="288" t="s">
        <v>29</v>
      </c>
      <c r="C11" s="277">
        <f>'August 2021'!F11</f>
        <v>0</v>
      </c>
      <c r="D11" s="292"/>
      <c r="E11" s="292"/>
      <c r="F11" s="279">
        <f t="shared" si="0"/>
        <v>0</v>
      </c>
      <c r="G11" s="280"/>
      <c r="H11" s="273"/>
      <c r="I11" s="293"/>
    </row>
    <row r="12" spans="1:18" x14ac:dyDescent="0.2">
      <c r="A12" s="282"/>
      <c r="B12" s="288" t="s">
        <v>20</v>
      </c>
      <c r="C12" s="277">
        <f>'August 2021'!F12</f>
        <v>-1433.8099999999997</v>
      </c>
      <c r="D12" s="290">
        <v>303.14</v>
      </c>
      <c r="E12" s="294"/>
      <c r="F12" s="295">
        <f>C12+D12-E12</f>
        <v>-1130.6699999999996</v>
      </c>
      <c r="G12" s="280"/>
      <c r="H12" s="273"/>
      <c r="I12" s="400"/>
    </row>
    <row r="13" spans="1:18" x14ac:dyDescent="0.2">
      <c r="A13" s="282"/>
      <c r="B13" s="288" t="s">
        <v>22</v>
      </c>
      <c r="C13" s="277">
        <f>'August 2021'!F13</f>
        <v>13.109999999999957</v>
      </c>
      <c r="D13" s="290">
        <v>20.86</v>
      </c>
      <c r="E13" s="294"/>
      <c r="F13" s="295">
        <f>C13+D13-E13</f>
        <v>33.969999999999956</v>
      </c>
      <c r="G13" s="280"/>
      <c r="H13" s="273"/>
      <c r="I13" s="400"/>
    </row>
    <row r="14" spans="1:18" x14ac:dyDescent="0.2">
      <c r="A14" s="282"/>
      <c r="B14" s="288" t="s">
        <v>28</v>
      </c>
      <c r="C14" s="277">
        <f>'August 2021'!F14</f>
        <v>-817.14000000000101</v>
      </c>
      <c r="D14" s="294"/>
      <c r="E14" s="290">
        <v>1058.04</v>
      </c>
      <c r="F14" s="286">
        <f t="shared" si="0"/>
        <v>-1875.180000000001</v>
      </c>
      <c r="G14" s="280"/>
      <c r="H14" s="273"/>
      <c r="I14" s="400"/>
    </row>
    <row r="15" spans="1:18" x14ac:dyDescent="0.2">
      <c r="A15" s="282"/>
      <c r="B15" s="296" t="s">
        <v>42</v>
      </c>
      <c r="C15" s="277">
        <f>'August 2021'!F15</f>
        <v>869.7</v>
      </c>
      <c r="D15" s="284"/>
      <c r="E15" s="284">
        <v>187.12</v>
      </c>
      <c r="F15" s="297">
        <f t="shared" si="0"/>
        <v>682.58</v>
      </c>
      <c r="G15" s="280"/>
      <c r="H15" s="273"/>
      <c r="I15" s="400"/>
    </row>
    <row r="16" spans="1:18" x14ac:dyDescent="0.2">
      <c r="A16" s="282"/>
      <c r="B16" s="296" t="s">
        <v>43</v>
      </c>
      <c r="C16" s="277">
        <f>'August 2021'!F16</f>
        <v>-526.6700000000003</v>
      </c>
      <c r="D16" s="284"/>
      <c r="E16" s="284">
        <v>35.090000000000003</v>
      </c>
      <c r="F16" s="295">
        <f t="shared" si="0"/>
        <v>-561.76000000000033</v>
      </c>
      <c r="G16" s="280"/>
      <c r="H16" s="273"/>
      <c r="I16" s="273"/>
      <c r="P16" s="400"/>
    </row>
    <row r="17" spans="1:16" x14ac:dyDescent="0.2">
      <c r="A17" s="792" t="s">
        <v>53</v>
      </c>
      <c r="B17" s="793"/>
      <c r="C17" s="298">
        <f>SUM(C18:C22)</f>
        <v>-16842.11</v>
      </c>
      <c r="D17" s="299">
        <f>SUM(D18:D22)</f>
        <v>0</v>
      </c>
      <c r="E17" s="299">
        <f>SUM(E18:E22)</f>
        <v>2859.8499999999995</v>
      </c>
      <c r="F17" s="286">
        <f>SUM(F18:F22)</f>
        <v>-19701.96</v>
      </c>
      <c r="G17" s="300"/>
      <c r="H17" s="273"/>
      <c r="I17" s="273"/>
      <c r="P17" s="400"/>
    </row>
    <row r="18" spans="1:16" x14ac:dyDescent="0.2">
      <c r="A18" s="301"/>
      <c r="B18" s="302" t="s">
        <v>9</v>
      </c>
      <c r="C18" s="303">
        <f>'August 2021'!F18</f>
        <v>445.70999999999913</v>
      </c>
      <c r="D18" s="304"/>
      <c r="E18" s="305"/>
      <c r="F18" s="306">
        <f>C18+D18-E18</f>
        <v>445.70999999999913</v>
      </c>
      <c r="G18" s="284"/>
      <c r="H18" s="273"/>
      <c r="I18" s="400"/>
      <c r="J18" s="79"/>
    </row>
    <row r="19" spans="1:16" x14ac:dyDescent="0.2">
      <c r="A19" s="282"/>
      <c r="B19" s="307" t="s">
        <v>8</v>
      </c>
      <c r="C19" s="303">
        <f>'August 2021'!F19</f>
        <v>-11491.55</v>
      </c>
      <c r="D19" s="294"/>
      <c r="E19" s="290">
        <f>1813.6+223.33</f>
        <v>2036.9299999999998</v>
      </c>
      <c r="F19" s="306">
        <f>C19+D19-E19</f>
        <v>-13528.48</v>
      </c>
      <c r="G19" s="308"/>
      <c r="H19" s="273"/>
      <c r="I19" s="400"/>
    </row>
    <row r="20" spans="1:16" x14ac:dyDescent="0.2">
      <c r="A20" s="282"/>
      <c r="B20" s="307" t="s">
        <v>32</v>
      </c>
      <c r="C20" s="303">
        <f>'August 2021'!F20</f>
        <v>1154.4699999999998</v>
      </c>
      <c r="D20" s="294"/>
      <c r="E20" s="290">
        <v>352.68</v>
      </c>
      <c r="F20" s="306">
        <f t="shared" ref="F20:F22" si="1">C20+D20-E20</f>
        <v>801.78999999999974</v>
      </c>
      <c r="G20" s="309"/>
      <c r="H20" s="273"/>
      <c r="I20" s="400"/>
    </row>
    <row r="21" spans="1:16" hidden="1" x14ac:dyDescent="0.2">
      <c r="A21" s="282"/>
      <c r="B21" s="307" t="s">
        <v>67</v>
      </c>
      <c r="C21" s="303">
        <f>'August 2021'!F21</f>
        <v>-9.0951551845463996E-15</v>
      </c>
      <c r="D21" s="294"/>
      <c r="E21" s="294"/>
      <c r="F21" s="306">
        <f t="shared" si="1"/>
        <v>-9.0951551845463996E-15</v>
      </c>
      <c r="G21" s="309"/>
      <c r="H21" s="273"/>
      <c r="I21" s="400"/>
    </row>
    <row r="22" spans="1:16" x14ac:dyDescent="0.2">
      <c r="A22" s="310"/>
      <c r="B22" s="311" t="s">
        <v>38</v>
      </c>
      <c r="C22" s="303">
        <f>'August 2021'!F22</f>
        <v>-6950.7399999999989</v>
      </c>
      <c r="D22" s="312"/>
      <c r="E22" s="305">
        <v>470.24</v>
      </c>
      <c r="F22" s="306">
        <f t="shared" si="1"/>
        <v>-7420.9799999999987</v>
      </c>
      <c r="G22" s="284">
        <v>8500</v>
      </c>
      <c r="H22" s="273"/>
      <c r="I22" s="400"/>
      <c r="J22" s="79"/>
    </row>
    <row r="23" spans="1:16" x14ac:dyDescent="0.2">
      <c r="A23" s="790" t="s">
        <v>10</v>
      </c>
      <c r="B23" s="791"/>
      <c r="C23" s="298">
        <f>SUM(C24:C30)</f>
        <v>233288.82</v>
      </c>
      <c r="D23" s="313">
        <f>SUM(D24:D30)</f>
        <v>0</v>
      </c>
      <c r="E23" s="314">
        <f>SUM(E24:E30)</f>
        <v>16847.370000000003</v>
      </c>
      <c r="F23" s="314">
        <f>SUM(F24:F30)</f>
        <v>216441.45</v>
      </c>
      <c r="G23" s="315">
        <f>SUM(G30:G34)</f>
        <v>70000</v>
      </c>
      <c r="H23" s="273"/>
      <c r="I23" s="273"/>
      <c r="P23" s="400"/>
    </row>
    <row r="24" spans="1:16" hidden="1" x14ac:dyDescent="0.2">
      <c r="A24" s="301"/>
      <c r="B24" s="316" t="s">
        <v>55</v>
      </c>
      <c r="C24" s="303">
        <f>'February 2021'!G24</f>
        <v>0</v>
      </c>
      <c r="D24" s="317"/>
      <c r="E24" s="304"/>
      <c r="F24" s="318">
        <f>C24+D24-E24</f>
        <v>0</v>
      </c>
      <c r="G24" s="278"/>
      <c r="H24" s="273"/>
      <c r="I24" s="400"/>
      <c r="J24" s="319"/>
    </row>
    <row r="25" spans="1:16" x14ac:dyDescent="0.2">
      <c r="A25" s="310"/>
      <c r="B25" s="296" t="s">
        <v>70</v>
      </c>
      <c r="C25" s="303">
        <f>'August 2021'!F25</f>
        <v>9804.8299999999981</v>
      </c>
      <c r="D25" s="312"/>
      <c r="E25" s="312">
        <v>2806.75</v>
      </c>
      <c r="F25" s="318">
        <f>C25+D25-E25</f>
        <v>6998.0799999999981</v>
      </c>
      <c r="G25" s="284"/>
      <c r="H25" s="273"/>
      <c r="I25" s="400"/>
      <c r="J25" s="319"/>
    </row>
    <row r="26" spans="1:16" hidden="1" x14ac:dyDescent="0.2">
      <c r="A26" s="275"/>
      <c r="B26" s="320" t="s">
        <v>34</v>
      </c>
      <c r="C26" s="303">
        <f>'August 2021'!F26</f>
        <v>5.4569682106375694E-12</v>
      </c>
      <c r="D26" s="305"/>
      <c r="E26" s="321"/>
      <c r="F26" s="318">
        <f t="shared" ref="F26:F30" si="2">C26+D26-E26</f>
        <v>5.4569682106375694E-12</v>
      </c>
      <c r="G26" s="284"/>
      <c r="H26" s="273"/>
      <c r="I26" s="400"/>
      <c r="J26" s="400"/>
    </row>
    <row r="27" spans="1:16" hidden="1" x14ac:dyDescent="0.2">
      <c r="A27" s="275"/>
      <c r="B27" s="320" t="s">
        <v>39</v>
      </c>
      <c r="C27" s="303">
        <f>'August 2021'!F27</f>
        <v>8.1854523159563541E-12</v>
      </c>
      <c r="D27" s="312"/>
      <c r="E27" s="305"/>
      <c r="F27" s="318">
        <f t="shared" si="2"/>
        <v>8.1854523159563541E-12</v>
      </c>
      <c r="G27" s="284"/>
      <c r="H27" s="273"/>
      <c r="I27" s="400"/>
      <c r="J27" s="400"/>
    </row>
    <row r="28" spans="1:16" x14ac:dyDescent="0.2">
      <c r="A28" s="275"/>
      <c r="B28" s="320" t="s">
        <v>65</v>
      </c>
      <c r="C28" s="303">
        <f>'August 2021'!F28</f>
        <v>88541.99</v>
      </c>
      <c r="D28" s="312"/>
      <c r="E28" s="312">
        <v>14040.62</v>
      </c>
      <c r="F28" s="318">
        <f t="shared" si="2"/>
        <v>74501.37000000001</v>
      </c>
      <c r="G28" s="284"/>
      <c r="H28" s="273"/>
      <c r="I28" s="400"/>
      <c r="J28" s="400"/>
    </row>
    <row r="29" spans="1:16" x14ac:dyDescent="0.2">
      <c r="A29" s="275"/>
      <c r="B29" s="320" t="s">
        <v>86</v>
      </c>
      <c r="C29" s="303">
        <f>'August 2021'!F29</f>
        <v>134492</v>
      </c>
      <c r="D29" s="312"/>
      <c r="E29" s="312"/>
      <c r="F29" s="318">
        <f t="shared" si="2"/>
        <v>134492</v>
      </c>
      <c r="G29" s="284"/>
      <c r="H29" s="273"/>
      <c r="I29" s="400"/>
      <c r="J29" s="400"/>
    </row>
    <row r="30" spans="1:16" x14ac:dyDescent="0.2">
      <c r="A30" s="310"/>
      <c r="B30" s="296" t="s">
        <v>44</v>
      </c>
      <c r="C30" s="303">
        <f>'August 2021'!F30</f>
        <v>450</v>
      </c>
      <c r="D30" s="312"/>
      <c r="E30" s="305"/>
      <c r="F30" s="318">
        <f t="shared" si="2"/>
        <v>450</v>
      </c>
      <c r="G30" s="284"/>
      <c r="H30" s="273"/>
      <c r="I30" s="400"/>
      <c r="J30" s="319"/>
    </row>
    <row r="31" spans="1:16" x14ac:dyDescent="0.2">
      <c r="A31" s="790" t="s">
        <v>35</v>
      </c>
      <c r="B31" s="791"/>
      <c r="C31" s="298">
        <f>SUM(C32:C34)</f>
        <v>69606.080000000002</v>
      </c>
      <c r="D31" s="313">
        <f>SUM(D32:D34)</f>
        <v>0</v>
      </c>
      <c r="E31" s="314">
        <f>SUM(E32:E34)</f>
        <v>129.87</v>
      </c>
      <c r="F31" s="314">
        <f>SUM(F32:F34)</f>
        <v>69475.73000000001</v>
      </c>
      <c r="G31" s="315">
        <f>SUM(G32:G34)</f>
        <v>35000</v>
      </c>
      <c r="H31" s="273"/>
      <c r="I31" s="273"/>
      <c r="P31" s="400"/>
    </row>
    <row r="32" spans="1:16" x14ac:dyDescent="0.2">
      <c r="A32" s="310"/>
      <c r="B32" s="296" t="s">
        <v>78</v>
      </c>
      <c r="C32" s="303">
        <f>'August 2021'!F32</f>
        <v>18977.919999999998</v>
      </c>
      <c r="D32" s="322"/>
      <c r="E32" s="323"/>
      <c r="F32" s="324">
        <f>C32+D32-E32-0.48</f>
        <v>18977.439999999999</v>
      </c>
      <c r="G32" s="284"/>
      <c r="H32" s="273"/>
      <c r="I32" s="400"/>
      <c r="J32" s="319"/>
    </row>
    <row r="33" spans="1:16" x14ac:dyDescent="0.2">
      <c r="A33" s="310"/>
      <c r="B33" s="296" t="s">
        <v>90</v>
      </c>
      <c r="C33" s="303">
        <f>'August 2021'!F33</f>
        <v>28078.600000000006</v>
      </c>
      <c r="D33" s="322"/>
      <c r="E33" s="323">
        <v>29.39</v>
      </c>
      <c r="F33" s="324">
        <f t="shared" ref="F33" si="3">C33+D33-E33</f>
        <v>28049.210000000006</v>
      </c>
      <c r="G33" s="284">
        <v>35000</v>
      </c>
      <c r="H33" s="273"/>
      <c r="I33" s="400"/>
      <c r="J33" s="319"/>
    </row>
    <row r="34" spans="1:16" ht="12" thickBot="1" x14ac:dyDescent="0.25">
      <c r="A34" s="310"/>
      <c r="B34" s="325" t="s">
        <v>77</v>
      </c>
      <c r="C34" s="303">
        <f>'August 2021'!F34</f>
        <v>22549.559999999994</v>
      </c>
      <c r="D34" s="322"/>
      <c r="E34" s="305">
        <v>100.48</v>
      </c>
      <c r="F34" s="324">
        <f>C34+D34-E34</f>
        <v>22449.079999999994</v>
      </c>
      <c r="G34" s="284"/>
      <c r="H34" s="273"/>
      <c r="I34" s="293"/>
      <c r="J34" s="266"/>
      <c r="P34" s="326"/>
    </row>
    <row r="35" spans="1:16" ht="12" thickBot="1" x14ac:dyDescent="0.25">
      <c r="A35" s="794" t="s">
        <v>11</v>
      </c>
      <c r="B35" s="795"/>
      <c r="C35" s="327">
        <f>C6+C17+C23+C31-324.97</f>
        <v>455755.21</v>
      </c>
      <c r="D35" s="328">
        <f>SUM(D23,D17,D6,D31)</f>
        <v>1319.62</v>
      </c>
      <c r="E35" s="328">
        <f>SUM(E23,E17,E6,E31)</f>
        <v>15344.85</v>
      </c>
      <c r="F35" s="329">
        <f>SUM(F23,F17,F6,F31)-324.97</f>
        <v>441729.5</v>
      </c>
      <c r="G35" s="330">
        <f>SUM(G6,G16,G23,G31)</f>
        <v>105000</v>
      </c>
      <c r="H35" s="400"/>
      <c r="I35" s="400"/>
      <c r="J35" s="331"/>
    </row>
    <row r="36" spans="1:16" hidden="1" x14ac:dyDescent="0.2">
      <c r="A36" s="397"/>
      <c r="B36" s="398"/>
      <c r="C36" s="400">
        <f>SUM(C17:C22)</f>
        <v>-33684.22</v>
      </c>
      <c r="D36" s="400"/>
      <c r="E36" s="400"/>
      <c r="F36" s="400"/>
      <c r="G36" s="334"/>
      <c r="H36" s="400"/>
      <c r="K36" s="399" t="s">
        <v>12</v>
      </c>
      <c r="L36" s="399">
        <v>42.43</v>
      </c>
    </row>
    <row r="37" spans="1:16" ht="12" hidden="1" thickBot="1" x14ac:dyDescent="0.25">
      <c r="A37" s="335" t="s">
        <v>25</v>
      </c>
      <c r="B37" s="336"/>
      <c r="C37" s="337" t="e">
        <f>SUM(C35,#REF!)</f>
        <v>#REF!</v>
      </c>
      <c r="D37" s="338" t="e">
        <f>SUM(D35,#REF!)</f>
        <v>#REF!</v>
      </c>
      <c r="E37" s="338" t="e">
        <f>SUM(E35,#REF!)</f>
        <v>#REF!</v>
      </c>
      <c r="F37" s="339" t="e">
        <f>SUM(F35,#REF!)</f>
        <v>#REF!</v>
      </c>
      <c r="G37" s="334"/>
      <c r="H37" s="400"/>
      <c r="I37" s="331"/>
      <c r="J37" s="79">
        <v>206730.35</v>
      </c>
    </row>
    <row r="38" spans="1:16" ht="12" thickBot="1" x14ac:dyDescent="0.25">
      <c r="B38" s="340"/>
      <c r="C38" s="400"/>
      <c r="D38" s="400"/>
      <c r="E38" s="400"/>
      <c r="F38" s="400"/>
      <c r="G38" s="334"/>
      <c r="H38" s="341"/>
      <c r="I38" s="331"/>
      <c r="J38" s="79"/>
      <c r="P38" s="400"/>
    </row>
    <row r="39" spans="1:16" ht="12" thickBot="1" x14ac:dyDescent="0.25">
      <c r="A39" s="796" t="s">
        <v>13</v>
      </c>
      <c r="B39" s="797"/>
      <c r="C39" s="342" t="s">
        <v>2</v>
      </c>
      <c r="D39" s="342" t="s">
        <v>3</v>
      </c>
      <c r="E39" s="342" t="s">
        <v>27</v>
      </c>
      <c r="F39" s="342" t="s">
        <v>5</v>
      </c>
      <c r="G39" s="269"/>
      <c r="H39" s="331"/>
      <c r="I39" s="343"/>
    </row>
    <row r="40" spans="1:16" ht="12" thickBot="1" x14ac:dyDescent="0.25">
      <c r="A40" s="784" t="s">
        <v>14</v>
      </c>
      <c r="B40" s="785"/>
      <c r="C40" s="344">
        <f>'August 2021'!F40</f>
        <v>139.9</v>
      </c>
      <c r="D40" s="345"/>
      <c r="E40" s="345">
        <v>14.35</v>
      </c>
      <c r="F40" s="346">
        <f>C40+D40-E40</f>
        <v>125.55000000000001</v>
      </c>
      <c r="G40" s="400"/>
      <c r="I40" s="331"/>
      <c r="J40" s="79"/>
    </row>
    <row r="41" spans="1:16" ht="12" thickBot="1" x14ac:dyDescent="0.25">
      <c r="A41" s="798" t="s">
        <v>15</v>
      </c>
      <c r="B41" s="799"/>
      <c r="C41" s="344">
        <f>'August 2021'!F41</f>
        <v>11575.150000000005</v>
      </c>
      <c r="D41" s="347">
        <v>22000</v>
      </c>
      <c r="E41" s="347">
        <v>16074.07</v>
      </c>
      <c r="F41" s="346">
        <f t="shared" ref="F41:F46" si="4">C41+D41-E41</f>
        <v>17501.080000000009</v>
      </c>
      <c r="G41" s="400"/>
      <c r="H41" s="349"/>
      <c r="I41" s="331"/>
    </row>
    <row r="42" spans="1:16" ht="12" thickBot="1" x14ac:dyDescent="0.25">
      <c r="A42" s="350"/>
      <c r="B42" s="351" t="s">
        <v>21</v>
      </c>
      <c r="C42" s="344">
        <f>'August 2021'!F42</f>
        <v>0</v>
      </c>
      <c r="D42" s="352"/>
      <c r="E42" s="352"/>
      <c r="F42" s="346">
        <f t="shared" si="4"/>
        <v>0</v>
      </c>
      <c r="G42" s="400"/>
      <c r="H42" s="349"/>
      <c r="I42" s="79"/>
    </row>
    <row r="43" spans="1:16" ht="12" thickBot="1" x14ac:dyDescent="0.25">
      <c r="A43" s="350"/>
      <c r="B43" s="351" t="s">
        <v>40</v>
      </c>
      <c r="C43" s="344">
        <f>'August 2021'!F43</f>
        <v>-2295.3100000000004</v>
      </c>
      <c r="D43" s="353">
        <v>1793.84</v>
      </c>
      <c r="E43" s="353">
        <v>348.74</v>
      </c>
      <c r="F43" s="346">
        <f>C43+D43-E43</f>
        <v>-850.21000000000049</v>
      </c>
      <c r="G43" s="400"/>
      <c r="H43" s="79"/>
      <c r="I43" s="79"/>
    </row>
    <row r="44" spans="1:16" ht="12" thickBot="1" x14ac:dyDescent="0.25">
      <c r="A44" s="784" t="s">
        <v>16</v>
      </c>
      <c r="B44" s="785"/>
      <c r="C44" s="344">
        <f>'August 2021'!F44</f>
        <v>203631.12000000005</v>
      </c>
      <c r="D44" s="355">
        <v>371.41</v>
      </c>
      <c r="E44" s="355">
        <v>22000</v>
      </c>
      <c r="F44" s="346">
        <f t="shared" si="4"/>
        <v>182002.53000000006</v>
      </c>
      <c r="G44" s="400"/>
      <c r="H44" s="79"/>
      <c r="I44" s="79"/>
    </row>
    <row r="45" spans="1:16" ht="12" thickBot="1" x14ac:dyDescent="0.25">
      <c r="A45" s="357" t="s">
        <v>46</v>
      </c>
      <c r="B45" s="358"/>
      <c r="C45" s="344">
        <f>'August 2021'!F45</f>
        <v>242705.55</v>
      </c>
      <c r="D45" s="322">
        <f>6000+48.21</f>
        <v>6048.21</v>
      </c>
      <c r="E45" s="322">
        <f>1000+6000</f>
        <v>7000</v>
      </c>
      <c r="F45" s="346">
        <f t="shared" si="4"/>
        <v>241753.75999999998</v>
      </c>
      <c r="G45" s="400"/>
      <c r="H45" s="79"/>
      <c r="I45" s="79"/>
    </row>
    <row r="46" spans="1:16" ht="12" thickBot="1" x14ac:dyDescent="0.25">
      <c r="A46" s="800"/>
      <c r="B46" s="795"/>
      <c r="C46" s="360">
        <f>SUM(C40+C41+C44+C45+C43+C42)</f>
        <v>455756.41000000009</v>
      </c>
      <c r="D46" s="361">
        <f>SUM(D40:D45)</f>
        <v>30213.46</v>
      </c>
      <c r="E46" s="361">
        <f>SUM(E40:E45)</f>
        <v>45437.16</v>
      </c>
      <c r="F46" s="346">
        <f t="shared" si="4"/>
        <v>440532.71000000008</v>
      </c>
      <c r="G46" s="400"/>
      <c r="H46" s="331"/>
      <c r="I46" s="79"/>
      <c r="J46" s="266"/>
    </row>
    <row r="47" spans="1:16" x14ac:dyDescent="0.2">
      <c r="A47" s="397"/>
      <c r="B47" s="398"/>
      <c r="C47" s="400">
        <f>C35-C46</f>
        <v>-1.2000000000698492</v>
      </c>
      <c r="D47" s="400"/>
      <c r="E47" s="400"/>
      <c r="F47" s="400">
        <f>F35-F46</f>
        <v>1196.7899999999208</v>
      </c>
      <c r="H47" s="400"/>
      <c r="I47" s="331"/>
      <c r="J47" s="331"/>
      <c r="K47" s="266"/>
    </row>
    <row r="48" spans="1:16" x14ac:dyDescent="0.2">
      <c r="B48" s="340"/>
      <c r="C48" s="400"/>
      <c r="D48" s="400"/>
      <c r="E48" s="400"/>
      <c r="F48" s="400"/>
      <c r="G48" s="400"/>
      <c r="H48" s="400"/>
      <c r="I48" s="331"/>
    </row>
    <row r="49" spans="1:16" x14ac:dyDescent="0.2">
      <c r="A49" s="801" t="s">
        <v>17</v>
      </c>
      <c r="B49" s="801"/>
      <c r="C49" s="801"/>
      <c r="D49" s="801"/>
      <c r="E49" s="802" t="s">
        <v>18</v>
      </c>
      <c r="F49" s="802"/>
      <c r="G49" s="400"/>
      <c r="H49" s="400"/>
      <c r="J49" s="331"/>
    </row>
    <row r="50" spans="1:16" x14ac:dyDescent="0.2">
      <c r="C50" s="400"/>
      <c r="D50" s="400"/>
      <c r="E50" s="400"/>
      <c r="F50" s="400"/>
      <c r="G50" s="400"/>
      <c r="H50" s="400"/>
    </row>
    <row r="51" spans="1:16" x14ac:dyDescent="0.2">
      <c r="A51" s="801" t="s">
        <v>19</v>
      </c>
      <c r="B51" s="801"/>
      <c r="C51" s="801"/>
      <c r="D51" s="801"/>
      <c r="E51" s="802" t="s">
        <v>18</v>
      </c>
      <c r="F51" s="802"/>
      <c r="G51" s="400"/>
      <c r="H51" s="400"/>
    </row>
    <row r="52" spans="1:16" x14ac:dyDescent="0.2">
      <c r="A52" s="397"/>
      <c r="B52" s="398"/>
      <c r="C52" s="266"/>
      <c r="D52" s="266"/>
      <c r="E52" s="266"/>
      <c r="F52" s="79"/>
      <c r="G52" s="266"/>
      <c r="H52" s="266"/>
      <c r="I52" s="331"/>
      <c r="J52" s="79"/>
      <c r="P52" s="364"/>
    </row>
    <row r="53" spans="1:16" x14ac:dyDescent="0.2">
      <c r="B53" s="340"/>
      <c r="C53" s="331"/>
      <c r="D53" s="331"/>
      <c r="E53" s="331"/>
      <c r="F53" s="331"/>
      <c r="I53" s="331"/>
      <c r="J53" s="343"/>
      <c r="L53" s="266"/>
      <c r="P53" s="364"/>
    </row>
    <row r="54" spans="1:16" x14ac:dyDescent="0.2">
      <c r="B54" s="340"/>
      <c r="C54" s="79"/>
      <c r="D54" s="331"/>
      <c r="F54" s="331"/>
      <c r="J54" s="331"/>
    </row>
  </sheetData>
  <mergeCells count="17">
    <mergeCell ref="A44:B44"/>
    <mergeCell ref="A2:G2"/>
    <mergeCell ref="A3:G3"/>
    <mergeCell ref="A5:B5"/>
    <mergeCell ref="A6:B6"/>
    <mergeCell ref="A17:B17"/>
    <mergeCell ref="A23:B23"/>
    <mergeCell ref="A31:B31"/>
    <mergeCell ref="A35:B35"/>
    <mergeCell ref="A39:B39"/>
    <mergeCell ref="A40:B40"/>
    <mergeCell ref="A41:B41"/>
    <mergeCell ref="A46:B46"/>
    <mergeCell ref="A49:D49"/>
    <mergeCell ref="E49:F49"/>
    <mergeCell ref="A51:D51"/>
    <mergeCell ref="E51:F51"/>
  </mergeCells>
  <pageMargins left="0.7" right="0.7" top="0.75" bottom="0.75" header="0.3" footer="0.3"/>
  <pageSetup orientation="portrait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A63B5-EE78-401E-AD3F-CC447749EB39}">
  <dimension ref="A1:R54"/>
  <sheetViews>
    <sheetView topLeftCell="A2" zoomScale="130" zoomScaleNormal="130" workbookViewId="0">
      <selection activeCell="H47" sqref="H47"/>
    </sheetView>
  </sheetViews>
  <sheetFormatPr defaultColWidth="9.140625" defaultRowHeight="11.25" x14ac:dyDescent="0.2"/>
  <cols>
    <col min="1" max="1" width="10.7109375" style="402" customWidth="1"/>
    <col min="2" max="2" width="28.140625" style="402" customWidth="1"/>
    <col min="3" max="3" width="10.5703125" style="402" customWidth="1"/>
    <col min="4" max="4" width="9.42578125" style="402" customWidth="1"/>
    <col min="5" max="5" width="9.140625" style="402"/>
    <col min="6" max="6" width="10.28515625" style="402" customWidth="1"/>
    <col min="7" max="7" width="8.85546875" style="402" customWidth="1"/>
    <col min="8" max="8" width="35.85546875" style="402" bestFit="1" customWidth="1"/>
    <col min="9" max="9" width="14.7109375" style="402" customWidth="1"/>
    <col min="10" max="10" width="14.5703125" style="402" customWidth="1"/>
    <col min="11" max="11" width="11.28515625" style="402" customWidth="1"/>
    <col min="12" max="15" width="9.140625" style="402"/>
    <col min="16" max="16" width="13" style="402" customWidth="1"/>
    <col min="17" max="16384" width="9.140625" style="402"/>
  </cols>
  <sheetData>
    <row r="1" spans="1:18" hidden="1" x14ac:dyDescent="0.2"/>
    <row r="2" spans="1:18" x14ac:dyDescent="0.2">
      <c r="A2" s="786" t="s">
        <v>0</v>
      </c>
      <c r="B2" s="786"/>
      <c r="C2" s="786"/>
      <c r="D2" s="786"/>
      <c r="E2" s="786"/>
      <c r="F2" s="786"/>
      <c r="G2" s="786"/>
      <c r="H2" s="404"/>
    </row>
    <row r="3" spans="1:18" x14ac:dyDescent="0.2">
      <c r="A3" s="787" t="s">
        <v>97</v>
      </c>
      <c r="B3" s="787"/>
      <c r="C3" s="787"/>
      <c r="D3" s="787"/>
      <c r="E3" s="787"/>
      <c r="F3" s="787"/>
      <c r="G3" s="787"/>
      <c r="H3" s="405"/>
    </row>
    <row r="4" spans="1:18" ht="12" thickBot="1" x14ac:dyDescent="0.25">
      <c r="B4" s="265" t="s">
        <v>37</v>
      </c>
      <c r="F4" s="266"/>
      <c r="I4" s="267"/>
    </row>
    <row r="5" spans="1:18" x14ac:dyDescent="0.2">
      <c r="A5" s="788" t="s">
        <v>1</v>
      </c>
      <c r="B5" s="789"/>
      <c r="C5" s="268" t="s">
        <v>2</v>
      </c>
      <c r="D5" s="268" t="s">
        <v>3</v>
      </c>
      <c r="E5" s="268" t="s">
        <v>58</v>
      </c>
      <c r="F5" s="268" t="s">
        <v>5</v>
      </c>
      <c r="G5" s="268" t="s">
        <v>6</v>
      </c>
      <c r="H5" s="269"/>
      <c r="I5" s="269"/>
    </row>
    <row r="6" spans="1:18" x14ac:dyDescent="0.2">
      <c r="A6" s="790" t="s">
        <v>7</v>
      </c>
      <c r="B6" s="791"/>
      <c r="C6" s="270">
        <f>SUM(C7:C16)</f>
        <v>175839.24999999994</v>
      </c>
      <c r="D6" s="271">
        <f>SUM(D7:D16)</f>
        <v>5222.68</v>
      </c>
      <c r="E6" s="271">
        <f>SUM(E7:E16)</f>
        <v>-7503.33</v>
      </c>
      <c r="F6" s="271">
        <f>SUM(F7:F16)</f>
        <v>188565.25999999995</v>
      </c>
      <c r="G6" s="272">
        <f>SUM(G7:G15)</f>
        <v>0</v>
      </c>
      <c r="H6" s="273"/>
      <c r="I6" s="273"/>
      <c r="J6" s="273"/>
      <c r="K6" s="403"/>
      <c r="P6" s="403"/>
      <c r="R6" s="403"/>
    </row>
    <row r="7" spans="1:18" ht="12" customHeight="1" x14ac:dyDescent="0.2">
      <c r="A7" s="275"/>
      <c r="B7" s="276" t="s">
        <v>23</v>
      </c>
      <c r="C7" s="277">
        <f>'September 2021'!F7</f>
        <v>182095.77999999997</v>
      </c>
      <c r="D7" s="278">
        <f>100+83.9</f>
        <v>183.9</v>
      </c>
      <c r="E7" s="278">
        <f>1000+2039.52+1086.52-14247.13</f>
        <v>-10121.09</v>
      </c>
      <c r="F7" s="279">
        <f>C7+D7-E7</f>
        <v>192400.76999999996</v>
      </c>
      <c r="G7" s="280"/>
      <c r="H7" s="281"/>
      <c r="I7" s="403"/>
    </row>
    <row r="8" spans="1:18" x14ac:dyDescent="0.2">
      <c r="A8" s="282"/>
      <c r="B8" s="283" t="s">
        <v>62</v>
      </c>
      <c r="C8" s="277">
        <f>'September 2021'!F8</f>
        <v>-3405.46</v>
      </c>
      <c r="D8" s="284">
        <v>3405.46</v>
      </c>
      <c r="E8" s="285">
        <v>1653.32</v>
      </c>
      <c r="F8" s="286">
        <f t="shared" ref="F8:F16" si="0">C8+D8-E8</f>
        <v>-1653.32</v>
      </c>
      <c r="G8" s="280"/>
      <c r="H8" s="273"/>
      <c r="I8" s="287"/>
    </row>
    <row r="9" spans="1:18" hidden="1" x14ac:dyDescent="0.2">
      <c r="A9" s="282"/>
      <c r="B9" s="288" t="s">
        <v>67</v>
      </c>
      <c r="C9" s="277">
        <f>'September 2021'!F9</f>
        <v>0</v>
      </c>
      <c r="D9" s="284"/>
      <c r="E9" s="284"/>
      <c r="F9" s="279">
        <f t="shared" si="0"/>
        <v>0</v>
      </c>
      <c r="G9" s="280"/>
      <c r="H9" s="273"/>
      <c r="I9" s="289"/>
      <c r="J9" s="403"/>
    </row>
    <row r="10" spans="1:18" hidden="1" x14ac:dyDescent="0.2">
      <c r="A10" s="282"/>
      <c r="B10" s="288" t="s">
        <v>41</v>
      </c>
      <c r="C10" s="277">
        <f>'September 2021'!F10</f>
        <v>-1.0000000002037268E-2</v>
      </c>
      <c r="D10" s="290"/>
      <c r="E10" s="290"/>
      <c r="F10" s="286">
        <f t="shared" si="0"/>
        <v>-1.0000000002037268E-2</v>
      </c>
      <c r="G10" s="280"/>
      <c r="H10" s="273"/>
      <c r="I10" s="291"/>
      <c r="J10" s="403"/>
    </row>
    <row r="11" spans="1:18" hidden="1" x14ac:dyDescent="0.2">
      <c r="A11" s="282"/>
      <c r="B11" s="288" t="s">
        <v>29</v>
      </c>
      <c r="C11" s="277">
        <f>'September 2021'!F11</f>
        <v>0</v>
      </c>
      <c r="D11" s="292"/>
      <c r="E11" s="292"/>
      <c r="F11" s="279">
        <f t="shared" si="0"/>
        <v>0</v>
      </c>
      <c r="G11" s="280"/>
      <c r="H11" s="273"/>
      <c r="I11" s="293"/>
    </row>
    <row r="12" spans="1:18" x14ac:dyDescent="0.2">
      <c r="A12" s="282"/>
      <c r="B12" s="288" t="s">
        <v>20</v>
      </c>
      <c r="C12" s="277">
        <f>'September 2021'!F12</f>
        <v>-1130.6699999999996</v>
      </c>
      <c r="D12" s="290">
        <f>27.13+67.37</f>
        <v>94.5</v>
      </c>
      <c r="E12" s="294">
        <f>250+88.17</f>
        <v>338.17</v>
      </c>
      <c r="F12" s="295">
        <f>C12+D12-E12</f>
        <v>-1374.3399999999997</v>
      </c>
      <c r="G12" s="280"/>
      <c r="H12" s="273"/>
      <c r="I12" s="403"/>
    </row>
    <row r="13" spans="1:18" x14ac:dyDescent="0.2">
      <c r="A13" s="282"/>
      <c r="B13" s="288" t="s">
        <v>22</v>
      </c>
      <c r="C13" s="277">
        <f>'September 2021'!F13</f>
        <v>33.969999999999956</v>
      </c>
      <c r="D13" s="290">
        <v>6.5</v>
      </c>
      <c r="E13" s="294"/>
      <c r="F13" s="295">
        <f>C13+D13-E13</f>
        <v>40.469999999999956</v>
      </c>
      <c r="G13" s="280"/>
      <c r="H13" s="273"/>
      <c r="I13" s="403"/>
    </row>
    <row r="14" spans="1:18" x14ac:dyDescent="0.2">
      <c r="A14" s="282"/>
      <c r="B14" s="288" t="s">
        <v>28</v>
      </c>
      <c r="C14" s="277">
        <f>'September 2021'!F14</f>
        <v>-1875.180000000001</v>
      </c>
      <c r="D14" s="294">
        <v>1532.32</v>
      </c>
      <c r="E14" s="290">
        <v>602.88</v>
      </c>
      <c r="F14" s="286">
        <f t="shared" si="0"/>
        <v>-945.74000000000103</v>
      </c>
      <c r="G14" s="280"/>
      <c r="H14" s="273"/>
      <c r="I14" s="403"/>
    </row>
    <row r="15" spans="1:18" x14ac:dyDescent="0.2">
      <c r="A15" s="282"/>
      <c r="B15" s="296" t="s">
        <v>42</v>
      </c>
      <c r="C15" s="277">
        <f>'September 2021'!F15</f>
        <v>682.58</v>
      </c>
      <c r="D15" s="284"/>
      <c r="E15" s="284"/>
      <c r="F15" s="297">
        <f t="shared" si="0"/>
        <v>682.58</v>
      </c>
      <c r="G15" s="280"/>
      <c r="H15" s="273"/>
      <c r="I15" s="403"/>
    </row>
    <row r="16" spans="1:18" x14ac:dyDescent="0.2">
      <c r="A16" s="282"/>
      <c r="B16" s="296" t="s">
        <v>43</v>
      </c>
      <c r="C16" s="277">
        <f>'September 2021'!F16</f>
        <v>-561.76000000000033</v>
      </c>
      <c r="D16" s="284"/>
      <c r="E16" s="284">
        <v>23.39</v>
      </c>
      <c r="F16" s="295">
        <f t="shared" si="0"/>
        <v>-585.15000000000032</v>
      </c>
      <c r="G16" s="280"/>
      <c r="H16" s="273"/>
      <c r="I16" s="273"/>
      <c r="P16" s="403"/>
    </row>
    <row r="17" spans="1:16" x14ac:dyDescent="0.2">
      <c r="A17" s="792" t="s">
        <v>53</v>
      </c>
      <c r="B17" s="793"/>
      <c r="C17" s="298">
        <f>SUM(C18:C22)</f>
        <v>-22978.95</v>
      </c>
      <c r="D17" s="299">
        <f>SUM(D18:D22)</f>
        <v>0</v>
      </c>
      <c r="E17" s="299">
        <f>SUM(E18:E22)</f>
        <v>3849.99</v>
      </c>
      <c r="F17" s="286">
        <f>SUM(F18:F22)</f>
        <v>-26828.94</v>
      </c>
      <c r="G17" s="300"/>
      <c r="H17" s="273"/>
      <c r="I17" s="273"/>
      <c r="P17" s="403"/>
    </row>
    <row r="18" spans="1:16" x14ac:dyDescent="0.2">
      <c r="A18" s="301"/>
      <c r="B18" s="302" t="s">
        <v>9</v>
      </c>
      <c r="C18" s="303">
        <f>'September 2021'!F18-3276.99</f>
        <v>-2831.2800000000007</v>
      </c>
      <c r="D18" s="304"/>
      <c r="E18" s="305">
        <v>1542.98</v>
      </c>
      <c r="F18" s="306">
        <f>C18+D18-E18</f>
        <v>-4374.26</v>
      </c>
      <c r="G18" s="284"/>
      <c r="H18" s="273"/>
      <c r="I18" s="403"/>
      <c r="J18" s="79"/>
    </row>
    <row r="19" spans="1:16" x14ac:dyDescent="0.2">
      <c r="A19" s="282"/>
      <c r="B19" s="307" t="s">
        <v>8</v>
      </c>
      <c r="C19" s="303">
        <f>'September 2021'!F19</f>
        <v>-13528.48</v>
      </c>
      <c r="D19" s="294"/>
      <c r="E19" s="290">
        <f>1351.23+44.69</f>
        <v>1395.92</v>
      </c>
      <c r="F19" s="306">
        <f>C19+D19-E19</f>
        <v>-14924.4</v>
      </c>
      <c r="G19" s="308"/>
      <c r="H19" s="273"/>
      <c r="I19" s="403"/>
    </row>
    <row r="20" spans="1:16" x14ac:dyDescent="0.2">
      <c r="A20" s="282"/>
      <c r="B20" s="307" t="s">
        <v>32</v>
      </c>
      <c r="C20" s="303">
        <f>'September 2021'!F20</f>
        <v>801.78999999999974</v>
      </c>
      <c r="D20" s="294"/>
      <c r="E20" s="290">
        <v>323.29000000000002</v>
      </c>
      <c r="F20" s="306">
        <f t="shared" ref="F20:F22" si="1">C20+D20-E20</f>
        <v>478.49999999999972</v>
      </c>
      <c r="G20" s="309"/>
      <c r="H20" s="273"/>
      <c r="I20" s="403"/>
    </row>
    <row r="21" spans="1:16" hidden="1" x14ac:dyDescent="0.2">
      <c r="A21" s="282"/>
      <c r="B21" s="307" t="s">
        <v>67</v>
      </c>
      <c r="C21" s="303">
        <f>'September 2021'!F21</f>
        <v>-9.0951551845463996E-15</v>
      </c>
      <c r="D21" s="294"/>
      <c r="E21" s="294"/>
      <c r="F21" s="306">
        <f t="shared" si="1"/>
        <v>-9.0951551845463996E-15</v>
      </c>
      <c r="G21" s="309"/>
      <c r="H21" s="273"/>
      <c r="I21" s="403"/>
    </row>
    <row r="22" spans="1:16" x14ac:dyDescent="0.2">
      <c r="A22" s="310"/>
      <c r="B22" s="311" t="s">
        <v>38</v>
      </c>
      <c r="C22" s="303">
        <f>'September 2021'!F22</f>
        <v>-7420.9799999999987</v>
      </c>
      <c r="D22" s="312"/>
      <c r="E22" s="305">
        <v>587.79999999999995</v>
      </c>
      <c r="F22" s="306">
        <f t="shared" si="1"/>
        <v>-8008.7799999999988</v>
      </c>
      <c r="G22" s="284">
        <v>8500</v>
      </c>
      <c r="H22" s="273"/>
      <c r="I22" s="403"/>
      <c r="J22" s="79"/>
    </row>
    <row r="23" spans="1:16" x14ac:dyDescent="0.2">
      <c r="A23" s="790" t="s">
        <v>10</v>
      </c>
      <c r="B23" s="791"/>
      <c r="C23" s="298">
        <f>SUM(C24:C30)</f>
        <v>218513.45</v>
      </c>
      <c r="D23" s="313">
        <f>SUM(D24:D30)</f>
        <v>0</v>
      </c>
      <c r="E23" s="314">
        <f>SUM(E24:E30)</f>
        <v>17725.239999999998</v>
      </c>
      <c r="F23" s="314">
        <f>SUM(F24:F30)</f>
        <v>200788.21</v>
      </c>
      <c r="G23" s="315">
        <f>SUM(G30:G34)</f>
        <v>70000</v>
      </c>
      <c r="H23" s="273"/>
      <c r="I23" s="273"/>
      <c r="P23" s="403"/>
    </row>
    <row r="24" spans="1:16" hidden="1" x14ac:dyDescent="0.2">
      <c r="A24" s="301"/>
      <c r="B24" s="316" t="s">
        <v>55</v>
      </c>
      <c r="C24" s="303">
        <f>'February 2021'!G24</f>
        <v>0</v>
      </c>
      <c r="D24" s="317"/>
      <c r="E24" s="304"/>
      <c r="F24" s="318">
        <f>C24+D24-E24</f>
        <v>0</v>
      </c>
      <c r="G24" s="278"/>
      <c r="H24" s="273"/>
      <c r="I24" s="403"/>
      <c r="J24" s="319"/>
    </row>
    <row r="25" spans="1:16" x14ac:dyDescent="0.2">
      <c r="A25" s="310"/>
      <c r="B25" s="296" t="s">
        <v>70</v>
      </c>
      <c r="C25" s="303">
        <f>'September 2021'!F25+2072</f>
        <v>9070.0799999999981</v>
      </c>
      <c r="D25" s="312"/>
      <c r="E25" s="312">
        <v>2395.29</v>
      </c>
      <c r="F25" s="318">
        <f>C25+D25-E25</f>
        <v>6674.7899999999981</v>
      </c>
      <c r="G25" s="284"/>
      <c r="H25" s="273"/>
      <c r="I25" s="403"/>
      <c r="J25" s="319"/>
    </row>
    <row r="26" spans="1:16" hidden="1" x14ac:dyDescent="0.2">
      <c r="A26" s="275"/>
      <c r="B26" s="320" t="s">
        <v>34</v>
      </c>
      <c r="C26" s="303">
        <f>'September 2021'!F26</f>
        <v>5.4569682106375694E-12</v>
      </c>
      <c r="D26" s="305"/>
      <c r="E26" s="321"/>
      <c r="F26" s="318">
        <f t="shared" ref="F26:F30" si="2">C26+D26-E26</f>
        <v>5.4569682106375694E-12</v>
      </c>
      <c r="G26" s="284"/>
      <c r="H26" s="273"/>
      <c r="I26" s="403"/>
      <c r="J26" s="403"/>
    </row>
    <row r="27" spans="1:16" hidden="1" x14ac:dyDescent="0.2">
      <c r="A27" s="275"/>
      <c r="B27" s="320" t="s">
        <v>39</v>
      </c>
      <c r="C27" s="303">
        <f>'September 2021'!F27</f>
        <v>8.1854523159563541E-12</v>
      </c>
      <c r="D27" s="312"/>
      <c r="E27" s="305"/>
      <c r="F27" s="318">
        <f t="shared" si="2"/>
        <v>8.1854523159563541E-12</v>
      </c>
      <c r="G27" s="284"/>
      <c r="H27" s="273"/>
      <c r="I27" s="403"/>
      <c r="J27" s="403"/>
    </row>
    <row r="28" spans="1:16" x14ac:dyDescent="0.2">
      <c r="A28" s="275"/>
      <c r="B28" s="320" t="s">
        <v>65</v>
      </c>
      <c r="C28" s="303">
        <f>'September 2021'!F28</f>
        <v>74501.37000000001</v>
      </c>
      <c r="D28" s="312"/>
      <c r="E28" s="312">
        <v>14928.03</v>
      </c>
      <c r="F28" s="318">
        <f t="shared" si="2"/>
        <v>59573.340000000011</v>
      </c>
      <c r="G28" s="284"/>
      <c r="H28" s="273"/>
      <c r="I28" s="403"/>
      <c r="J28" s="403"/>
    </row>
    <row r="29" spans="1:16" x14ac:dyDescent="0.2">
      <c r="A29" s="275"/>
      <c r="B29" s="320" t="s">
        <v>86</v>
      </c>
      <c r="C29" s="303">
        <f>'September 2021'!F29</f>
        <v>134492</v>
      </c>
      <c r="D29" s="312"/>
      <c r="E29" s="312"/>
      <c r="F29" s="318">
        <f t="shared" si="2"/>
        <v>134492</v>
      </c>
      <c r="G29" s="284"/>
      <c r="H29" s="273"/>
      <c r="I29" s="403"/>
      <c r="J29" s="403"/>
    </row>
    <row r="30" spans="1:16" x14ac:dyDescent="0.2">
      <c r="A30" s="310"/>
      <c r="B30" s="296" t="s">
        <v>44</v>
      </c>
      <c r="C30" s="303">
        <f>'September 2021'!F30</f>
        <v>450</v>
      </c>
      <c r="D30" s="312"/>
      <c r="E30" s="305">
        <v>401.92</v>
      </c>
      <c r="F30" s="318">
        <f t="shared" si="2"/>
        <v>48.079999999999984</v>
      </c>
      <c r="G30" s="284"/>
      <c r="H30" s="273"/>
      <c r="I30" s="403"/>
      <c r="J30" s="319"/>
    </row>
    <row r="31" spans="1:16" x14ac:dyDescent="0.2">
      <c r="A31" s="790" t="s">
        <v>35</v>
      </c>
      <c r="B31" s="791"/>
      <c r="C31" s="298">
        <f>SUM(C32:C34)</f>
        <v>69475.73000000001</v>
      </c>
      <c r="D31" s="313">
        <f>SUM(D32:D34)</f>
        <v>0</v>
      </c>
      <c r="E31" s="314">
        <f>SUM(E32:E34)</f>
        <v>251.2</v>
      </c>
      <c r="F31" s="314">
        <f>SUM(F32:F34)</f>
        <v>69224.05</v>
      </c>
      <c r="G31" s="315">
        <f>SUM(G32:G34)</f>
        <v>35000</v>
      </c>
      <c r="H31" s="273"/>
      <c r="I31" s="273"/>
      <c r="P31" s="403"/>
    </row>
    <row r="32" spans="1:16" x14ac:dyDescent="0.2">
      <c r="A32" s="310"/>
      <c r="B32" s="296" t="s">
        <v>78</v>
      </c>
      <c r="C32" s="303">
        <f>'September 2021'!F32</f>
        <v>18977.439999999999</v>
      </c>
      <c r="D32" s="322"/>
      <c r="E32" s="323"/>
      <c r="F32" s="324">
        <f>C32+D32-E32-0.48</f>
        <v>18976.96</v>
      </c>
      <c r="G32" s="284"/>
      <c r="H32" s="273"/>
      <c r="I32" s="403"/>
      <c r="J32" s="319"/>
    </row>
    <row r="33" spans="1:16" x14ac:dyDescent="0.2">
      <c r="A33" s="310"/>
      <c r="B33" s="296" t="s">
        <v>90</v>
      </c>
      <c r="C33" s="303">
        <f>'September 2021'!F33</f>
        <v>28049.210000000006</v>
      </c>
      <c r="D33" s="322"/>
      <c r="E33" s="323"/>
      <c r="F33" s="324">
        <f t="shared" ref="F33" si="3">C33+D33-E33</f>
        <v>28049.210000000006</v>
      </c>
      <c r="G33" s="284">
        <v>35000</v>
      </c>
      <c r="H33" s="273"/>
      <c r="I33" s="403"/>
      <c r="J33" s="319"/>
    </row>
    <row r="34" spans="1:16" ht="12" thickBot="1" x14ac:dyDescent="0.25">
      <c r="A34" s="310"/>
      <c r="B34" s="325" t="s">
        <v>77</v>
      </c>
      <c r="C34" s="303">
        <f>'September 2021'!F34</f>
        <v>22449.079999999994</v>
      </c>
      <c r="D34" s="322"/>
      <c r="E34" s="305">
        <v>251.2</v>
      </c>
      <c r="F34" s="324">
        <f>C34+D34-E34</f>
        <v>22197.879999999994</v>
      </c>
      <c r="G34" s="284"/>
      <c r="H34" s="273"/>
      <c r="I34" s="293"/>
      <c r="J34" s="266"/>
      <c r="P34" s="326"/>
    </row>
    <row r="35" spans="1:16" ht="12" thickBot="1" x14ac:dyDescent="0.25">
      <c r="A35" s="794" t="s">
        <v>11</v>
      </c>
      <c r="B35" s="795"/>
      <c r="C35" s="327">
        <f>C6+C17+C23+C31-324.97</f>
        <v>440524.51</v>
      </c>
      <c r="D35" s="328">
        <f>SUM(D23,D17,D6,D31)</f>
        <v>5222.68</v>
      </c>
      <c r="E35" s="328">
        <f>SUM(E23,E17,E6,E31)</f>
        <v>14323.099999999997</v>
      </c>
      <c r="F35" s="329">
        <f>SUM(F23,F17,F6,F31)-324.97</f>
        <v>431423.60999999993</v>
      </c>
      <c r="G35" s="330">
        <f>SUM(G6,G16,G23,G31)</f>
        <v>105000</v>
      </c>
      <c r="H35" s="403"/>
      <c r="I35" s="403"/>
      <c r="J35" s="331"/>
    </row>
    <row r="36" spans="1:16" hidden="1" x14ac:dyDescent="0.2">
      <c r="A36" s="406"/>
      <c r="B36" s="401"/>
      <c r="C36" s="403">
        <f>SUM(C17:C22)</f>
        <v>-45957.9</v>
      </c>
      <c r="D36" s="403"/>
      <c r="E36" s="403"/>
      <c r="F36" s="403"/>
      <c r="G36" s="334"/>
      <c r="H36" s="403"/>
      <c r="K36" s="402" t="s">
        <v>12</v>
      </c>
      <c r="L36" s="402">
        <v>42.43</v>
      </c>
    </row>
    <row r="37" spans="1:16" ht="12" hidden="1" thickBot="1" x14ac:dyDescent="0.25">
      <c r="A37" s="335" t="s">
        <v>25</v>
      </c>
      <c r="B37" s="336"/>
      <c r="C37" s="337" t="e">
        <f>SUM(C35,#REF!)</f>
        <v>#REF!</v>
      </c>
      <c r="D37" s="338" t="e">
        <f>SUM(D35,#REF!)</f>
        <v>#REF!</v>
      </c>
      <c r="E37" s="338" t="e">
        <f>SUM(E35,#REF!)</f>
        <v>#REF!</v>
      </c>
      <c r="F37" s="339" t="e">
        <f>SUM(F35,#REF!)</f>
        <v>#REF!</v>
      </c>
      <c r="G37" s="334"/>
      <c r="H37" s="403"/>
      <c r="I37" s="331"/>
      <c r="J37" s="79">
        <v>206730.35</v>
      </c>
    </row>
    <row r="38" spans="1:16" ht="12" thickBot="1" x14ac:dyDescent="0.25">
      <c r="B38" s="340"/>
      <c r="C38" s="403"/>
      <c r="D38" s="403"/>
      <c r="E38" s="403"/>
      <c r="F38" s="403"/>
      <c r="G38" s="334"/>
      <c r="H38" s="341"/>
      <c r="I38" s="331"/>
      <c r="J38" s="79"/>
      <c r="P38" s="403"/>
    </row>
    <row r="39" spans="1:16" ht="12" thickBot="1" x14ac:dyDescent="0.25">
      <c r="A39" s="796" t="s">
        <v>13</v>
      </c>
      <c r="B39" s="797"/>
      <c r="C39" s="342" t="s">
        <v>2</v>
      </c>
      <c r="D39" s="342" t="s">
        <v>3</v>
      </c>
      <c r="E39" s="342" t="s">
        <v>27</v>
      </c>
      <c r="F39" s="342" t="s">
        <v>5</v>
      </c>
      <c r="G39" s="269"/>
      <c r="H39" s="331"/>
      <c r="I39" s="343"/>
    </row>
    <row r="40" spans="1:16" ht="12" thickBot="1" x14ac:dyDescent="0.25">
      <c r="A40" s="784" t="s">
        <v>14</v>
      </c>
      <c r="B40" s="785"/>
      <c r="C40" s="344">
        <f>'September 2021'!F40</f>
        <v>125.55000000000001</v>
      </c>
      <c r="D40" s="345"/>
      <c r="E40" s="345">
        <v>29.36</v>
      </c>
      <c r="F40" s="346">
        <f>C40+D40-E40</f>
        <v>96.190000000000012</v>
      </c>
      <c r="G40" s="403"/>
      <c r="I40" s="331"/>
      <c r="J40" s="79"/>
    </row>
    <row r="41" spans="1:16" ht="12" thickBot="1" x14ac:dyDescent="0.25">
      <c r="A41" s="798" t="s">
        <v>15</v>
      </c>
      <c r="B41" s="799"/>
      <c r="C41" s="344">
        <f>'September 2021'!F41</f>
        <v>17501.080000000009</v>
      </c>
      <c r="D41" s="347">
        <v>25000</v>
      </c>
      <c r="E41" s="347">
        <v>18269.689999999999</v>
      </c>
      <c r="F41" s="346">
        <f t="shared" ref="F41:F46" si="4">C41+D41-E41</f>
        <v>24231.39000000001</v>
      </c>
      <c r="G41" s="403"/>
      <c r="H41" s="349"/>
      <c r="I41" s="331"/>
    </row>
    <row r="42" spans="1:16" ht="12" thickBot="1" x14ac:dyDescent="0.25">
      <c r="A42" s="350"/>
      <c r="B42" s="351" t="s">
        <v>21</v>
      </c>
      <c r="C42" s="344">
        <f>'September 2021'!F42</f>
        <v>0</v>
      </c>
      <c r="D42" s="352"/>
      <c r="E42" s="352"/>
      <c r="F42" s="346">
        <f t="shared" si="4"/>
        <v>0</v>
      </c>
      <c r="G42" s="403"/>
      <c r="H42" s="349"/>
      <c r="I42" s="79"/>
    </row>
    <row r="43" spans="1:16" ht="12" thickBot="1" x14ac:dyDescent="0.25">
      <c r="A43" s="350"/>
      <c r="B43" s="351" t="s">
        <v>40</v>
      </c>
      <c r="C43" s="344">
        <f>'September 2021'!F43</f>
        <v>-850.21000000000049</v>
      </c>
      <c r="D43" s="353">
        <v>348.74</v>
      </c>
      <c r="E43" s="353">
        <v>656.13</v>
      </c>
      <c r="F43" s="346">
        <f>C43+D43-E43</f>
        <v>-1157.6000000000004</v>
      </c>
      <c r="G43" s="403"/>
      <c r="H43" s="79"/>
      <c r="I43" s="79"/>
    </row>
    <row r="44" spans="1:16" ht="12" thickBot="1" x14ac:dyDescent="0.25">
      <c r="A44" s="784" t="s">
        <v>16</v>
      </c>
      <c r="B44" s="785"/>
      <c r="C44" s="344">
        <f>'September 2021'!F44</f>
        <v>182002.53000000006</v>
      </c>
      <c r="D44" s="355">
        <v>10499</v>
      </c>
      <c r="E44" s="355">
        <v>25000</v>
      </c>
      <c r="F44" s="346">
        <f t="shared" si="4"/>
        <v>167501.53000000006</v>
      </c>
      <c r="G44" s="403"/>
      <c r="H44" s="79"/>
      <c r="I44" s="79"/>
    </row>
    <row r="45" spans="1:16" ht="12" thickBot="1" x14ac:dyDescent="0.25">
      <c r="A45" s="357" t="s">
        <v>46</v>
      </c>
      <c r="B45" s="358"/>
      <c r="C45" s="344">
        <f>'September 2021'!F45</f>
        <v>241753.75999999998</v>
      </c>
      <c r="D45" s="322">
        <v>49.32</v>
      </c>
      <c r="E45" s="322">
        <f>1000+42.28</f>
        <v>1042.28</v>
      </c>
      <c r="F45" s="346">
        <f t="shared" si="4"/>
        <v>240760.8</v>
      </c>
      <c r="G45" s="403"/>
      <c r="H45" s="79"/>
      <c r="I45" s="79"/>
    </row>
    <row r="46" spans="1:16" ht="12" thickBot="1" x14ac:dyDescent="0.25">
      <c r="A46" s="800"/>
      <c r="B46" s="795"/>
      <c r="C46" s="360">
        <f>SUM(C40+C41+C44+C45+C43+C42)</f>
        <v>440532.71</v>
      </c>
      <c r="D46" s="361">
        <f>SUM(D40:D45)</f>
        <v>35897.060000000005</v>
      </c>
      <c r="E46" s="361">
        <f>SUM(E40:E45)</f>
        <v>44997.46</v>
      </c>
      <c r="F46" s="346">
        <f t="shared" si="4"/>
        <v>431432.31</v>
      </c>
      <c r="G46" s="403"/>
      <c r="H46" s="331"/>
      <c r="I46" s="79"/>
      <c r="J46" s="266"/>
    </row>
    <row r="47" spans="1:16" x14ac:dyDescent="0.2">
      <c r="A47" s="406"/>
      <c r="B47" s="401"/>
      <c r="C47" s="403">
        <f>C35-C46</f>
        <v>-8.2000000000116415</v>
      </c>
      <c r="D47" s="403"/>
      <c r="E47" s="403"/>
      <c r="F47" s="403">
        <f>F35-F46</f>
        <v>-8.7000000000698492</v>
      </c>
      <c r="H47" s="403"/>
      <c r="I47" s="331"/>
      <c r="J47" s="331"/>
      <c r="K47" s="266"/>
    </row>
    <row r="48" spans="1:16" x14ac:dyDescent="0.2">
      <c r="B48" s="340"/>
      <c r="C48" s="403"/>
      <c r="D48" s="403"/>
      <c r="E48" s="403"/>
      <c r="F48" s="403"/>
      <c r="G48" s="403"/>
      <c r="H48" s="403"/>
      <c r="I48" s="331"/>
    </row>
    <row r="49" spans="1:16" x14ac:dyDescent="0.2">
      <c r="A49" s="801" t="s">
        <v>17</v>
      </c>
      <c r="B49" s="801"/>
      <c r="C49" s="801"/>
      <c r="D49" s="801"/>
      <c r="E49" s="802" t="s">
        <v>18</v>
      </c>
      <c r="F49" s="802"/>
      <c r="G49" s="403"/>
      <c r="H49" s="403"/>
      <c r="J49" s="331"/>
    </row>
    <row r="50" spans="1:16" x14ac:dyDescent="0.2">
      <c r="C50" s="403"/>
      <c r="D50" s="403"/>
      <c r="E50" s="403"/>
      <c r="F50" s="403"/>
      <c r="G50" s="403"/>
      <c r="H50" s="403"/>
    </row>
    <row r="51" spans="1:16" x14ac:dyDescent="0.2">
      <c r="A51" s="801" t="s">
        <v>19</v>
      </c>
      <c r="B51" s="801"/>
      <c r="C51" s="801"/>
      <c r="D51" s="801"/>
      <c r="E51" s="802" t="s">
        <v>18</v>
      </c>
      <c r="F51" s="802"/>
      <c r="G51" s="403"/>
      <c r="H51" s="403"/>
    </row>
    <row r="52" spans="1:16" x14ac:dyDescent="0.2">
      <c r="A52" s="406"/>
      <c r="B52" s="401"/>
      <c r="C52" s="266"/>
      <c r="D52" s="266"/>
      <c r="E52" s="266"/>
      <c r="F52" s="79"/>
      <c r="G52" s="266"/>
      <c r="H52" s="266"/>
      <c r="I52" s="331"/>
      <c r="J52" s="79"/>
      <c r="P52" s="364"/>
    </row>
    <row r="53" spans="1:16" x14ac:dyDescent="0.2">
      <c r="B53" s="340"/>
      <c r="C53" s="331"/>
      <c r="D53" s="331"/>
      <c r="E53" s="331"/>
      <c r="F53" s="331"/>
      <c r="I53" s="331"/>
      <c r="J53" s="343"/>
      <c r="L53" s="266"/>
      <c r="P53" s="364"/>
    </row>
    <row r="54" spans="1:16" x14ac:dyDescent="0.2">
      <c r="B54" s="340"/>
      <c r="C54" s="79"/>
      <c r="D54" s="331"/>
      <c r="F54" s="331"/>
      <c r="J54" s="331"/>
    </row>
  </sheetData>
  <mergeCells count="17">
    <mergeCell ref="A46:B46"/>
    <mergeCell ref="A49:D49"/>
    <mergeCell ref="E49:F49"/>
    <mergeCell ref="A51:D51"/>
    <mergeCell ref="E51:F51"/>
    <mergeCell ref="A44:B44"/>
    <mergeCell ref="A2:G2"/>
    <mergeCell ref="A3:G3"/>
    <mergeCell ref="A5:B5"/>
    <mergeCell ref="A6:B6"/>
    <mergeCell ref="A17:B17"/>
    <mergeCell ref="A23:B23"/>
    <mergeCell ref="A31:B31"/>
    <mergeCell ref="A35:B35"/>
    <mergeCell ref="A39:B39"/>
    <mergeCell ref="A40:B40"/>
    <mergeCell ref="A41:B41"/>
  </mergeCells>
  <pageMargins left="0.7" right="0.7" top="0.75" bottom="0.75" header="0.3" footer="0.3"/>
  <pageSetup orientation="portrait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030E7-133A-4F65-9A9F-454C5C9B06A5}">
  <dimension ref="A1:R54"/>
  <sheetViews>
    <sheetView topLeftCell="A2" zoomScale="120" zoomScaleNormal="120" workbookViewId="0">
      <selection activeCell="E18" sqref="E18"/>
    </sheetView>
  </sheetViews>
  <sheetFormatPr defaultColWidth="9.140625" defaultRowHeight="11.25" x14ac:dyDescent="0.2"/>
  <cols>
    <col min="1" max="1" width="10.7109375" style="408" customWidth="1"/>
    <col min="2" max="2" width="28.140625" style="408" customWidth="1"/>
    <col min="3" max="3" width="10.5703125" style="408" customWidth="1"/>
    <col min="4" max="4" width="9.42578125" style="408" customWidth="1"/>
    <col min="5" max="5" width="9.140625" style="408"/>
    <col min="6" max="6" width="10.28515625" style="408" customWidth="1"/>
    <col min="7" max="7" width="8.85546875" style="408" customWidth="1"/>
    <col min="8" max="8" width="35.85546875" style="408" bestFit="1" customWidth="1"/>
    <col min="9" max="9" width="14.7109375" style="408" customWidth="1"/>
    <col min="10" max="10" width="14.5703125" style="408" customWidth="1"/>
    <col min="11" max="11" width="11.28515625" style="408" customWidth="1"/>
    <col min="12" max="15" width="9.140625" style="408"/>
    <col min="16" max="16" width="13" style="408" customWidth="1"/>
    <col min="17" max="16384" width="9.140625" style="408"/>
  </cols>
  <sheetData>
    <row r="1" spans="1:18" hidden="1" x14ac:dyDescent="0.2"/>
    <row r="2" spans="1:18" x14ac:dyDescent="0.2">
      <c r="A2" s="786" t="s">
        <v>0</v>
      </c>
      <c r="B2" s="786"/>
      <c r="C2" s="786"/>
      <c r="D2" s="786"/>
      <c r="E2" s="786"/>
      <c r="F2" s="786"/>
      <c r="G2" s="786"/>
      <c r="H2" s="410"/>
    </row>
    <row r="3" spans="1:18" x14ac:dyDescent="0.2">
      <c r="A3" s="787" t="s">
        <v>98</v>
      </c>
      <c r="B3" s="787"/>
      <c r="C3" s="787"/>
      <c r="D3" s="787"/>
      <c r="E3" s="787"/>
      <c r="F3" s="787"/>
      <c r="G3" s="787"/>
      <c r="H3" s="411"/>
    </row>
    <row r="4" spans="1:18" ht="12" thickBot="1" x14ac:dyDescent="0.25">
      <c r="B4" s="265" t="s">
        <v>37</v>
      </c>
      <c r="F4" s="266"/>
      <c r="I4" s="267"/>
    </row>
    <row r="5" spans="1:18" x14ac:dyDescent="0.2">
      <c r="A5" s="788" t="s">
        <v>1</v>
      </c>
      <c r="B5" s="789"/>
      <c r="C5" s="268" t="s">
        <v>2</v>
      </c>
      <c r="D5" s="268" t="s">
        <v>3</v>
      </c>
      <c r="E5" s="268" t="s">
        <v>58</v>
      </c>
      <c r="F5" s="268" t="s">
        <v>5</v>
      </c>
      <c r="G5" s="268" t="s">
        <v>6</v>
      </c>
      <c r="H5" s="269"/>
      <c r="I5" s="269"/>
    </row>
    <row r="6" spans="1:18" x14ac:dyDescent="0.2">
      <c r="A6" s="790" t="s">
        <v>7</v>
      </c>
      <c r="B6" s="791"/>
      <c r="C6" s="270">
        <f>SUM(C7:C16)</f>
        <v>188565.25999999995</v>
      </c>
      <c r="D6" s="271">
        <f>SUM(D7:D16)</f>
        <v>2117.96</v>
      </c>
      <c r="E6" s="271">
        <f>SUM(E7:E16)</f>
        <v>-7475.2599999999975</v>
      </c>
      <c r="F6" s="271">
        <f>SUM(F7:F16)</f>
        <v>198158.47999999992</v>
      </c>
      <c r="G6" s="272">
        <f>SUM(G7:G15)</f>
        <v>0</v>
      </c>
      <c r="H6" s="273"/>
      <c r="I6" s="273"/>
      <c r="J6" s="273"/>
      <c r="K6" s="409"/>
      <c r="P6" s="409"/>
      <c r="R6" s="409"/>
    </row>
    <row r="7" spans="1:18" ht="12" customHeight="1" x14ac:dyDescent="0.2">
      <c r="A7" s="275"/>
      <c r="B7" s="276" t="s">
        <v>23</v>
      </c>
      <c r="C7" s="277">
        <f>'October 2021'!F7</f>
        <v>192400.76999999996</v>
      </c>
      <c r="D7" s="278">
        <f>1524+84.96</f>
        <v>1608.96</v>
      </c>
      <c r="E7" s="278">
        <f>1000+2775+4273.81-20375.71</f>
        <v>-12326.899999999998</v>
      </c>
      <c r="F7" s="279">
        <f>C7+D7-E7</f>
        <v>206336.62999999995</v>
      </c>
      <c r="G7" s="280"/>
      <c r="H7" s="281"/>
      <c r="I7" s="409"/>
    </row>
    <row r="8" spans="1:18" x14ac:dyDescent="0.2">
      <c r="A8" s="282"/>
      <c r="B8" s="283" t="s">
        <v>62</v>
      </c>
      <c r="C8" s="277">
        <f>'October 2021'!F8</f>
        <v>-1653.32</v>
      </c>
      <c r="D8" s="284"/>
      <c r="E8" s="284">
        <v>3948.24</v>
      </c>
      <c r="F8" s="286">
        <f t="shared" ref="F8:F16" si="0">C8+D8-E8</f>
        <v>-5601.5599999999995</v>
      </c>
      <c r="G8" s="280"/>
      <c r="H8" s="273"/>
      <c r="I8" s="287"/>
    </row>
    <row r="9" spans="1:18" hidden="1" x14ac:dyDescent="0.2">
      <c r="A9" s="282"/>
      <c r="B9" s="288" t="s">
        <v>67</v>
      </c>
      <c r="C9" s="277">
        <f>'October 2021'!F9</f>
        <v>0</v>
      </c>
      <c r="D9" s="284"/>
      <c r="E9" s="284"/>
      <c r="F9" s="279">
        <f t="shared" si="0"/>
        <v>0</v>
      </c>
      <c r="G9" s="280"/>
      <c r="H9" s="273"/>
      <c r="I9" s="289"/>
      <c r="J9" s="409"/>
    </row>
    <row r="10" spans="1:18" hidden="1" x14ac:dyDescent="0.2">
      <c r="A10" s="282"/>
      <c r="B10" s="288" t="s">
        <v>41</v>
      </c>
      <c r="C10" s="277">
        <f>'October 2021'!F10</f>
        <v>-1.0000000002037268E-2</v>
      </c>
      <c r="D10" s="290"/>
      <c r="E10" s="290"/>
      <c r="F10" s="286">
        <f t="shared" si="0"/>
        <v>-1.0000000002037268E-2</v>
      </c>
      <c r="G10" s="280"/>
      <c r="H10" s="273"/>
      <c r="I10" s="291"/>
      <c r="J10" s="409"/>
    </row>
    <row r="11" spans="1:18" hidden="1" x14ac:dyDescent="0.2">
      <c r="A11" s="282"/>
      <c r="B11" s="288" t="s">
        <v>29</v>
      </c>
      <c r="C11" s="277">
        <f>'October 2021'!F11</f>
        <v>0</v>
      </c>
      <c r="D11" s="292"/>
      <c r="E11" s="292"/>
      <c r="F11" s="279">
        <f t="shared" si="0"/>
        <v>0</v>
      </c>
      <c r="G11" s="280"/>
      <c r="H11" s="273"/>
      <c r="I11" s="293"/>
    </row>
    <row r="12" spans="1:18" x14ac:dyDescent="0.2">
      <c r="A12" s="282"/>
      <c r="B12" s="288" t="s">
        <v>20</v>
      </c>
      <c r="C12" s="277">
        <f>'October 2021'!F12</f>
        <v>-1374.3399999999997</v>
      </c>
      <c r="D12" s="294">
        <v>476.57</v>
      </c>
      <c r="E12" s="294">
        <v>161.04</v>
      </c>
      <c r="F12" s="295">
        <f>C12+D12-E12</f>
        <v>-1058.8099999999997</v>
      </c>
      <c r="G12" s="280"/>
      <c r="H12" s="273"/>
      <c r="I12" s="409"/>
    </row>
    <row r="13" spans="1:18" x14ac:dyDescent="0.2">
      <c r="A13" s="282"/>
      <c r="B13" s="288" t="s">
        <v>22</v>
      </c>
      <c r="C13" s="277">
        <f>'October 2021'!F13</f>
        <v>40.469999999999956</v>
      </c>
      <c r="D13" s="294">
        <v>32.43</v>
      </c>
      <c r="E13" s="294">
        <v>39</v>
      </c>
      <c r="F13" s="295">
        <f>C13+D13-E13</f>
        <v>33.899999999999949</v>
      </c>
      <c r="G13" s="280"/>
      <c r="H13" s="273"/>
      <c r="I13" s="409"/>
    </row>
    <row r="14" spans="1:18" x14ac:dyDescent="0.2">
      <c r="A14" s="282"/>
      <c r="B14" s="288" t="s">
        <v>28</v>
      </c>
      <c r="C14" s="277">
        <f>'October 2021'!F14</f>
        <v>-945.74000000000103</v>
      </c>
      <c r="D14" s="294"/>
      <c r="E14" s="294">
        <v>703.36</v>
      </c>
      <c r="F14" s="286">
        <f t="shared" si="0"/>
        <v>-1649.100000000001</v>
      </c>
      <c r="G14" s="280"/>
      <c r="H14" s="273"/>
      <c r="I14" s="409"/>
    </row>
    <row r="15" spans="1:18" x14ac:dyDescent="0.2">
      <c r="A15" s="282"/>
      <c r="B15" s="296" t="s">
        <v>42</v>
      </c>
      <c r="C15" s="277">
        <f>'October 2021'!F15</f>
        <v>682.58</v>
      </c>
      <c r="D15" s="284"/>
      <c r="E15" s="284"/>
      <c r="F15" s="297">
        <f t="shared" si="0"/>
        <v>682.58</v>
      </c>
      <c r="G15" s="280"/>
      <c r="H15" s="273"/>
      <c r="I15" s="409"/>
    </row>
    <row r="16" spans="1:18" x14ac:dyDescent="0.2">
      <c r="A16" s="282"/>
      <c r="B16" s="296" t="s">
        <v>43</v>
      </c>
      <c r="C16" s="277">
        <f>'October 2021'!F16</f>
        <v>-585.15000000000032</v>
      </c>
      <c r="D16" s="284"/>
      <c r="E16" s="284"/>
      <c r="F16" s="295">
        <f t="shared" si="0"/>
        <v>-585.15000000000032</v>
      </c>
      <c r="G16" s="280"/>
      <c r="H16" s="273"/>
      <c r="I16" s="273"/>
      <c r="P16" s="409"/>
    </row>
    <row r="17" spans="1:16" x14ac:dyDescent="0.2">
      <c r="A17" s="792" t="s">
        <v>53</v>
      </c>
      <c r="B17" s="793"/>
      <c r="C17" s="298">
        <f>SUM(C18:C22)</f>
        <v>-26828.94</v>
      </c>
      <c r="D17" s="299">
        <f>SUM(D18:D22)</f>
        <v>5348.64</v>
      </c>
      <c r="E17" s="299">
        <f>SUM(E18:E22)</f>
        <v>2944.92</v>
      </c>
      <c r="F17" s="286">
        <f>SUM(F18:F22)</f>
        <v>-24425.22</v>
      </c>
      <c r="G17" s="300"/>
      <c r="H17" s="273"/>
      <c r="I17" s="273"/>
      <c r="P17" s="409"/>
    </row>
    <row r="18" spans="1:16" x14ac:dyDescent="0.2">
      <c r="A18" s="301"/>
      <c r="B18" s="302" t="s">
        <v>9</v>
      </c>
      <c r="C18" s="303">
        <f>'October 2021'!F18</f>
        <v>-4374.26</v>
      </c>
      <c r="D18" s="304"/>
      <c r="E18" s="305">
        <v>1836.88</v>
      </c>
      <c r="F18" s="306">
        <f>C18+D18-E18</f>
        <v>-6211.14</v>
      </c>
      <c r="G18" s="284"/>
      <c r="H18" s="273"/>
      <c r="I18" s="409"/>
      <c r="J18" s="79"/>
    </row>
    <row r="19" spans="1:16" x14ac:dyDescent="0.2">
      <c r="A19" s="282"/>
      <c r="B19" s="307" t="s">
        <v>8</v>
      </c>
      <c r="C19" s="303">
        <f>'October 2021'!F19</f>
        <v>-14924.4</v>
      </c>
      <c r="D19" s="294">
        <v>348.64</v>
      </c>
      <c r="E19" s="290">
        <v>196.94</v>
      </c>
      <c r="F19" s="306">
        <f>C19+D19-E19</f>
        <v>-14772.7</v>
      </c>
      <c r="G19" s="308"/>
      <c r="H19" s="273"/>
      <c r="I19" s="409"/>
    </row>
    <row r="20" spans="1:16" x14ac:dyDescent="0.2">
      <c r="A20" s="282"/>
      <c r="B20" s="307" t="s">
        <v>32</v>
      </c>
      <c r="C20" s="303">
        <f>'October 2021'!F20</f>
        <v>478.49999999999972</v>
      </c>
      <c r="D20" s="294">
        <v>5000</v>
      </c>
      <c r="E20" s="290">
        <v>602.5</v>
      </c>
      <c r="F20" s="306">
        <f t="shared" ref="F20:F22" si="1">C20+D20-E20</f>
        <v>4876</v>
      </c>
      <c r="G20" s="309"/>
      <c r="H20" s="273"/>
      <c r="I20" s="409"/>
    </row>
    <row r="21" spans="1:16" hidden="1" x14ac:dyDescent="0.2">
      <c r="A21" s="282"/>
      <c r="B21" s="307" t="s">
        <v>67</v>
      </c>
      <c r="C21" s="303">
        <f>'October 2021'!F21</f>
        <v>-9.0951551845463996E-15</v>
      </c>
      <c r="D21" s="294"/>
      <c r="E21" s="294"/>
      <c r="F21" s="306">
        <f t="shared" si="1"/>
        <v>-9.0951551845463996E-15</v>
      </c>
      <c r="G21" s="309"/>
      <c r="H21" s="273"/>
      <c r="I21" s="409"/>
    </row>
    <row r="22" spans="1:16" x14ac:dyDescent="0.2">
      <c r="A22" s="310"/>
      <c r="B22" s="311" t="s">
        <v>38</v>
      </c>
      <c r="C22" s="303">
        <f>'October 2021'!F22</f>
        <v>-8008.7799999999988</v>
      </c>
      <c r="D22" s="312"/>
      <c r="E22" s="422">
        <f>982.9-674.3</f>
        <v>308.60000000000002</v>
      </c>
      <c r="F22" s="306">
        <f t="shared" si="1"/>
        <v>-8317.3799999999992</v>
      </c>
      <c r="G22" s="284">
        <v>8500</v>
      </c>
      <c r="H22" s="273"/>
      <c r="I22" s="409"/>
      <c r="J22" s="79"/>
    </row>
    <row r="23" spans="1:16" x14ac:dyDescent="0.2">
      <c r="A23" s="790" t="s">
        <v>10</v>
      </c>
      <c r="B23" s="791"/>
      <c r="C23" s="298">
        <f>SUM(C24:C30)</f>
        <v>200788.21</v>
      </c>
      <c r="D23" s="313">
        <f>SUM(D24:D30)</f>
        <v>0</v>
      </c>
      <c r="E23" s="314">
        <f>SUM(E24:E30)</f>
        <v>22952.28</v>
      </c>
      <c r="F23" s="314">
        <f>SUM(F24:F30)</f>
        <v>177835.93000000002</v>
      </c>
      <c r="G23" s="315">
        <f>SUM(G30:G34)</f>
        <v>70000</v>
      </c>
      <c r="H23" s="273"/>
      <c r="I23" s="273"/>
      <c r="P23" s="409"/>
    </row>
    <row r="24" spans="1:16" hidden="1" x14ac:dyDescent="0.2">
      <c r="A24" s="301"/>
      <c r="B24" s="316" t="s">
        <v>55</v>
      </c>
      <c r="C24" s="303">
        <f>'February 2021'!G24</f>
        <v>0</v>
      </c>
      <c r="D24" s="317"/>
      <c r="E24" s="304"/>
      <c r="F24" s="318">
        <f>C24+D24-E24</f>
        <v>0</v>
      </c>
      <c r="G24" s="278"/>
      <c r="H24" s="273"/>
      <c r="I24" s="409"/>
      <c r="J24" s="319"/>
    </row>
    <row r="25" spans="1:16" x14ac:dyDescent="0.2">
      <c r="A25" s="310"/>
      <c r="B25" s="296" t="s">
        <v>70</v>
      </c>
      <c r="C25" s="303">
        <f>'October 2021'!F25</f>
        <v>6674.7899999999981</v>
      </c>
      <c r="D25" s="312"/>
      <c r="E25" s="312">
        <v>4143.99</v>
      </c>
      <c r="F25" s="318">
        <f>C25+D25-E25</f>
        <v>2530.7999999999984</v>
      </c>
      <c r="G25" s="284"/>
      <c r="H25" s="273"/>
      <c r="I25" s="409"/>
      <c r="J25" s="319"/>
    </row>
    <row r="26" spans="1:16" hidden="1" x14ac:dyDescent="0.2">
      <c r="A26" s="275"/>
      <c r="B26" s="320" t="s">
        <v>34</v>
      </c>
      <c r="C26" s="303">
        <f>'October 2021'!F26</f>
        <v>5.4569682106375694E-12</v>
      </c>
      <c r="D26" s="305"/>
      <c r="E26" s="321"/>
      <c r="F26" s="318">
        <f t="shared" ref="F26:F30" si="2">C26+D26-E26</f>
        <v>5.4569682106375694E-12</v>
      </c>
      <c r="G26" s="284"/>
      <c r="H26" s="273"/>
      <c r="I26" s="409"/>
      <c r="J26" s="409"/>
    </row>
    <row r="27" spans="1:16" hidden="1" x14ac:dyDescent="0.2">
      <c r="A27" s="275"/>
      <c r="B27" s="320" t="s">
        <v>39</v>
      </c>
      <c r="C27" s="303">
        <f>'October 2021'!F27</f>
        <v>8.1854523159563541E-12</v>
      </c>
      <c r="D27" s="312"/>
      <c r="E27" s="305"/>
      <c r="F27" s="318">
        <f t="shared" si="2"/>
        <v>8.1854523159563541E-12</v>
      </c>
      <c r="G27" s="284"/>
      <c r="H27" s="273"/>
      <c r="I27" s="409"/>
      <c r="J27" s="409"/>
    </row>
    <row r="28" spans="1:16" x14ac:dyDescent="0.2">
      <c r="A28" s="275"/>
      <c r="B28" s="320" t="s">
        <v>65</v>
      </c>
      <c r="C28" s="303">
        <f>'October 2021'!F28</f>
        <v>59573.340000000011</v>
      </c>
      <c r="D28" s="312"/>
      <c r="E28" s="312">
        <v>18808.29</v>
      </c>
      <c r="F28" s="318">
        <f t="shared" si="2"/>
        <v>40765.05000000001</v>
      </c>
      <c r="G28" s="284"/>
      <c r="H28" s="273"/>
      <c r="I28" s="409"/>
      <c r="J28" s="409"/>
    </row>
    <row r="29" spans="1:16" x14ac:dyDescent="0.2">
      <c r="A29" s="275"/>
      <c r="B29" s="320" t="s">
        <v>86</v>
      </c>
      <c r="C29" s="303">
        <f>'October 2021'!F29</f>
        <v>134492</v>
      </c>
      <c r="D29" s="312"/>
      <c r="E29" s="312"/>
      <c r="F29" s="318">
        <f t="shared" si="2"/>
        <v>134492</v>
      </c>
      <c r="G29" s="284"/>
      <c r="H29" s="273"/>
      <c r="I29" s="409"/>
      <c r="J29" s="409"/>
    </row>
    <row r="30" spans="1:16" x14ac:dyDescent="0.2">
      <c r="A30" s="310"/>
      <c r="B30" s="296" t="s">
        <v>44</v>
      </c>
      <c r="C30" s="303">
        <f>'October 2021'!F30</f>
        <v>48.079999999999984</v>
      </c>
      <c r="D30" s="312"/>
      <c r="E30" s="305"/>
      <c r="F30" s="318">
        <f t="shared" si="2"/>
        <v>48.079999999999984</v>
      </c>
      <c r="G30" s="284"/>
      <c r="H30" s="273"/>
      <c r="I30" s="409"/>
      <c r="J30" s="319"/>
    </row>
    <row r="31" spans="1:16" x14ac:dyDescent="0.2">
      <c r="A31" s="790" t="s">
        <v>35</v>
      </c>
      <c r="B31" s="791"/>
      <c r="C31" s="298">
        <f>SUM(C32:C34)</f>
        <v>69224.05</v>
      </c>
      <c r="D31" s="313">
        <f>SUM(D32:D34)</f>
        <v>0</v>
      </c>
      <c r="E31" s="314">
        <f>SUM(E32:E34)</f>
        <v>2408.37</v>
      </c>
      <c r="F31" s="314">
        <f>SUM(F32:F34)</f>
        <v>66815.199999999997</v>
      </c>
      <c r="G31" s="315">
        <f>SUM(G32:G34)</f>
        <v>35000</v>
      </c>
      <c r="H31" s="273"/>
      <c r="I31" s="273"/>
      <c r="P31" s="409"/>
    </row>
    <row r="32" spans="1:16" x14ac:dyDescent="0.2">
      <c r="A32" s="310"/>
      <c r="B32" s="296" t="s">
        <v>78</v>
      </c>
      <c r="C32" s="303">
        <f>'October 2021'!F32</f>
        <v>18976.96</v>
      </c>
      <c r="D32" s="322"/>
      <c r="E32" s="423">
        <f>450.56+674.3</f>
        <v>1124.8599999999999</v>
      </c>
      <c r="F32" s="324">
        <f>C32+D32-E32-0.48</f>
        <v>17851.62</v>
      </c>
      <c r="G32" s="284"/>
      <c r="H32" s="273"/>
      <c r="I32" s="409"/>
      <c r="J32" s="319"/>
    </row>
    <row r="33" spans="1:16" x14ac:dyDescent="0.2">
      <c r="A33" s="310"/>
      <c r="B33" s="296" t="s">
        <v>90</v>
      </c>
      <c r="C33" s="303">
        <f>'October 2021'!F33</f>
        <v>28049.210000000006</v>
      </c>
      <c r="D33" s="322"/>
      <c r="E33" s="323">
        <v>1283.51</v>
      </c>
      <c r="F33" s="324">
        <f t="shared" ref="F33" si="3">C33+D33-E33</f>
        <v>26765.700000000008</v>
      </c>
      <c r="G33" s="284">
        <v>35000</v>
      </c>
      <c r="H33" s="273"/>
      <c r="I33" s="409"/>
      <c r="J33" s="319"/>
    </row>
    <row r="34" spans="1:16" ht="12" thickBot="1" x14ac:dyDescent="0.25">
      <c r="A34" s="310"/>
      <c r="B34" s="325" t="s">
        <v>77</v>
      </c>
      <c r="C34" s="303">
        <f>'October 2021'!F34</f>
        <v>22197.879999999994</v>
      </c>
      <c r="D34" s="322"/>
      <c r="E34" s="305"/>
      <c r="F34" s="324">
        <f>C34+D34-E34</f>
        <v>22197.879999999994</v>
      </c>
      <c r="G34" s="284"/>
      <c r="H34" s="273"/>
      <c r="I34" s="293"/>
      <c r="J34" s="266"/>
      <c r="P34" s="326"/>
    </row>
    <row r="35" spans="1:16" ht="12" thickBot="1" x14ac:dyDescent="0.25">
      <c r="A35" s="794" t="s">
        <v>11</v>
      </c>
      <c r="B35" s="795"/>
      <c r="C35" s="327">
        <f>C6+C17+C23+C31-324.97</f>
        <v>431423.60999999993</v>
      </c>
      <c r="D35" s="328">
        <f>SUM(D23,D17,D6,D31)</f>
        <v>7466.6</v>
      </c>
      <c r="E35" s="328">
        <f>SUM(E23,E17,E6,E31)</f>
        <v>20830.309999999998</v>
      </c>
      <c r="F35" s="329">
        <f>SUM(F23,F17,F6,F31)-324.97</f>
        <v>418059.42</v>
      </c>
      <c r="G35" s="330">
        <f>SUM(G6,G16,G23,G31)</f>
        <v>105000</v>
      </c>
      <c r="H35" s="409"/>
      <c r="I35" s="409"/>
      <c r="J35" s="331"/>
    </row>
    <row r="36" spans="1:16" hidden="1" x14ac:dyDescent="0.2">
      <c r="A36" s="412"/>
      <c r="B36" s="407"/>
      <c r="C36" s="409">
        <f>SUM(C17:C22)</f>
        <v>-53657.88</v>
      </c>
      <c r="D36" s="409"/>
      <c r="E36" s="409"/>
      <c r="F36" s="409"/>
      <c r="G36" s="334"/>
      <c r="H36" s="409"/>
      <c r="K36" s="408" t="s">
        <v>12</v>
      </c>
      <c r="L36" s="408">
        <v>42.43</v>
      </c>
    </row>
    <row r="37" spans="1:16" ht="12" hidden="1" thickBot="1" x14ac:dyDescent="0.25">
      <c r="A37" s="335" t="s">
        <v>25</v>
      </c>
      <c r="B37" s="336"/>
      <c r="C37" s="337" t="e">
        <f>SUM(C35,#REF!)</f>
        <v>#REF!</v>
      </c>
      <c r="D37" s="338" t="e">
        <f>SUM(D35,#REF!)</f>
        <v>#REF!</v>
      </c>
      <c r="E37" s="338" t="e">
        <f>SUM(E35,#REF!)</f>
        <v>#REF!</v>
      </c>
      <c r="F37" s="339" t="e">
        <f>SUM(F35,#REF!)</f>
        <v>#REF!</v>
      </c>
      <c r="G37" s="334"/>
      <c r="H37" s="409"/>
      <c r="I37" s="331"/>
      <c r="J37" s="79">
        <v>206730.35</v>
      </c>
    </row>
    <row r="38" spans="1:16" ht="12" thickBot="1" x14ac:dyDescent="0.25">
      <c r="B38" s="340"/>
      <c r="C38" s="409"/>
      <c r="D38" s="409"/>
      <c r="E38" s="409"/>
      <c r="F38" s="409"/>
      <c r="G38" s="334"/>
      <c r="H38" s="341"/>
      <c r="I38" s="331"/>
      <c r="J38" s="79"/>
      <c r="P38" s="409"/>
    </row>
    <row r="39" spans="1:16" ht="12" thickBot="1" x14ac:dyDescent="0.25">
      <c r="A39" s="796" t="s">
        <v>13</v>
      </c>
      <c r="B39" s="797"/>
      <c r="C39" s="342" t="s">
        <v>2</v>
      </c>
      <c r="D39" s="342" t="s">
        <v>3</v>
      </c>
      <c r="E39" s="342" t="s">
        <v>27</v>
      </c>
      <c r="F39" s="342" t="s">
        <v>5</v>
      </c>
      <c r="G39" s="269"/>
      <c r="H39" s="331"/>
      <c r="I39" s="343"/>
    </row>
    <row r="40" spans="1:16" ht="12" thickBot="1" x14ac:dyDescent="0.25">
      <c r="A40" s="784" t="s">
        <v>14</v>
      </c>
      <c r="B40" s="785"/>
      <c r="C40" s="344">
        <f>'October 2021'!F40</f>
        <v>96.190000000000012</v>
      </c>
      <c r="D40" s="345"/>
      <c r="E40" s="345">
        <v>24.6</v>
      </c>
      <c r="F40" s="346">
        <f>C40+D40-E40</f>
        <v>71.59</v>
      </c>
      <c r="G40" s="409"/>
      <c r="I40" s="331"/>
      <c r="J40" s="79"/>
    </row>
    <row r="41" spans="1:16" ht="12" thickBot="1" x14ac:dyDescent="0.25">
      <c r="A41" s="798" t="s">
        <v>15</v>
      </c>
      <c r="B41" s="799"/>
      <c r="C41" s="344">
        <f>'October 2021'!F41</f>
        <v>24231.39000000001</v>
      </c>
      <c r="D41" s="347">
        <v>20000</v>
      </c>
      <c r="E41" s="347">
        <v>19300.310000000001</v>
      </c>
      <c r="F41" s="346">
        <f t="shared" ref="F41:F46" si="4">C41+D41-E41</f>
        <v>24931.080000000013</v>
      </c>
      <c r="G41" s="409"/>
      <c r="H41" s="349"/>
      <c r="I41" s="331"/>
    </row>
    <row r="42" spans="1:16" ht="12" thickBot="1" x14ac:dyDescent="0.25">
      <c r="A42" s="350"/>
      <c r="B42" s="351" t="s">
        <v>21</v>
      </c>
      <c r="C42" s="344">
        <f>'October 2021'!F42</f>
        <v>0</v>
      </c>
      <c r="D42" s="352"/>
      <c r="E42" s="352"/>
      <c r="F42" s="346">
        <f t="shared" si="4"/>
        <v>0</v>
      </c>
      <c r="G42" s="409"/>
      <c r="H42" s="349"/>
      <c r="I42" s="79"/>
    </row>
    <row r="43" spans="1:16" ht="12" thickBot="1" x14ac:dyDescent="0.25">
      <c r="A43" s="350"/>
      <c r="B43" s="351" t="s">
        <v>40</v>
      </c>
      <c r="C43" s="344">
        <f>'October 2021'!F43</f>
        <v>-1157.6000000000004</v>
      </c>
      <c r="D43" s="353">
        <v>656.13</v>
      </c>
      <c r="E43" s="353">
        <v>5434.11</v>
      </c>
      <c r="F43" s="346">
        <f>C43+D43-E43</f>
        <v>-5935.58</v>
      </c>
      <c r="G43" s="409"/>
      <c r="H43" s="79"/>
      <c r="I43" s="79"/>
    </row>
    <row r="44" spans="1:16" ht="12" thickBot="1" x14ac:dyDescent="0.25">
      <c r="A44" s="784" t="s">
        <v>16</v>
      </c>
      <c r="B44" s="785"/>
      <c r="C44" s="344">
        <f>'October 2021'!F44</f>
        <v>167501.53000000006</v>
      </c>
      <c r="D44" s="355">
        <v>11724.32</v>
      </c>
      <c r="E44" s="355">
        <v>20000</v>
      </c>
      <c r="F44" s="346">
        <f t="shared" si="4"/>
        <v>159225.85000000006</v>
      </c>
      <c r="G44" s="409"/>
      <c r="H44" s="79"/>
      <c r="I44" s="79"/>
    </row>
    <row r="45" spans="1:16" ht="12" thickBot="1" x14ac:dyDescent="0.25">
      <c r="A45" s="357" t="s">
        <v>46</v>
      </c>
      <c r="B45" s="358"/>
      <c r="C45" s="344">
        <f>'October 2021'!F45</f>
        <v>240760.8</v>
      </c>
      <c r="D45" s="322">
        <v>47.74</v>
      </c>
      <c r="E45" s="322">
        <f>1000+33.86</f>
        <v>1033.8599999999999</v>
      </c>
      <c r="F45" s="346">
        <f t="shared" si="4"/>
        <v>239774.68</v>
      </c>
      <c r="G45" s="409"/>
      <c r="H45" s="79"/>
      <c r="I45" s="79"/>
    </row>
    <row r="46" spans="1:16" ht="12" thickBot="1" x14ac:dyDescent="0.25">
      <c r="A46" s="800"/>
      <c r="B46" s="795"/>
      <c r="C46" s="360">
        <f>SUM(C40+C41+C44+C45+C43+C42)</f>
        <v>431432.31000000006</v>
      </c>
      <c r="D46" s="361">
        <f>SUM(D40:D45)</f>
        <v>32428.190000000002</v>
      </c>
      <c r="E46" s="361">
        <f>SUM(E40:E45)</f>
        <v>45792.880000000005</v>
      </c>
      <c r="F46" s="346">
        <f t="shared" si="4"/>
        <v>418067.62000000005</v>
      </c>
      <c r="G46" s="409"/>
      <c r="H46" s="331"/>
      <c r="I46" s="79"/>
      <c r="J46" s="266"/>
    </row>
    <row r="47" spans="1:16" x14ac:dyDescent="0.2">
      <c r="A47" s="412"/>
      <c r="B47" s="407"/>
      <c r="C47" s="409">
        <f>C35-C46</f>
        <v>-8.7000000001280569</v>
      </c>
      <c r="D47" s="409"/>
      <c r="E47" s="409"/>
      <c r="F47" s="409">
        <f>F35-F46</f>
        <v>-8.2000000000698492</v>
      </c>
      <c r="H47" s="409"/>
      <c r="I47" s="331"/>
      <c r="J47" s="331"/>
      <c r="K47" s="266"/>
    </row>
    <row r="48" spans="1:16" x14ac:dyDescent="0.2">
      <c r="B48" s="340"/>
      <c r="C48" s="409"/>
      <c r="D48" s="409"/>
      <c r="E48" s="409"/>
      <c r="F48" s="409"/>
      <c r="G48" s="409"/>
      <c r="H48" s="409"/>
      <c r="I48" s="331"/>
    </row>
    <row r="49" spans="1:16" x14ac:dyDescent="0.2">
      <c r="A49" s="801" t="s">
        <v>17</v>
      </c>
      <c r="B49" s="801"/>
      <c r="C49" s="801"/>
      <c r="D49" s="801"/>
      <c r="E49" s="802" t="s">
        <v>18</v>
      </c>
      <c r="F49" s="802"/>
      <c r="G49" s="409"/>
      <c r="H49" s="409"/>
      <c r="J49" s="331"/>
    </row>
    <row r="50" spans="1:16" x14ac:dyDescent="0.2">
      <c r="C50" s="409"/>
      <c r="D50" s="409"/>
      <c r="E50" s="409"/>
      <c r="F50" s="409"/>
      <c r="G50" s="409"/>
      <c r="H50" s="409"/>
    </row>
    <row r="51" spans="1:16" x14ac:dyDescent="0.2">
      <c r="A51" s="801" t="s">
        <v>19</v>
      </c>
      <c r="B51" s="801"/>
      <c r="C51" s="801"/>
      <c r="D51" s="801"/>
      <c r="E51" s="802" t="s">
        <v>18</v>
      </c>
      <c r="F51" s="802"/>
      <c r="G51" s="409"/>
      <c r="H51" s="409"/>
    </row>
    <row r="52" spans="1:16" x14ac:dyDescent="0.2">
      <c r="A52" s="412"/>
      <c r="B52" s="407"/>
      <c r="C52" s="266"/>
      <c r="D52" s="266"/>
      <c r="E52" s="266"/>
      <c r="F52" s="79"/>
      <c r="G52" s="266"/>
      <c r="H52" s="266"/>
      <c r="I52" s="331"/>
      <c r="J52" s="79"/>
      <c r="P52" s="364"/>
    </row>
    <row r="53" spans="1:16" x14ac:dyDescent="0.2">
      <c r="B53" s="340"/>
      <c r="C53" s="331"/>
      <c r="D53" s="331"/>
      <c r="E53" s="331"/>
      <c r="F53" s="331"/>
      <c r="I53" s="331"/>
      <c r="J53" s="343"/>
      <c r="L53" s="266"/>
      <c r="P53" s="364"/>
    </row>
    <row r="54" spans="1:16" x14ac:dyDescent="0.2">
      <c r="B54" s="340"/>
      <c r="C54" s="79"/>
      <c r="D54" s="331"/>
      <c r="F54" s="331"/>
      <c r="J54" s="331"/>
    </row>
  </sheetData>
  <mergeCells count="17">
    <mergeCell ref="A46:B46"/>
    <mergeCell ref="A49:D49"/>
    <mergeCell ref="E49:F49"/>
    <mergeCell ref="A51:D51"/>
    <mergeCell ref="E51:F51"/>
    <mergeCell ref="A44:B44"/>
    <mergeCell ref="A2:G2"/>
    <mergeCell ref="A3:G3"/>
    <mergeCell ref="A5:B5"/>
    <mergeCell ref="A6:B6"/>
    <mergeCell ref="A17:B17"/>
    <mergeCell ref="A23:B23"/>
    <mergeCell ref="A31:B31"/>
    <mergeCell ref="A35:B35"/>
    <mergeCell ref="A39:B39"/>
    <mergeCell ref="A40:B40"/>
    <mergeCell ref="A41:B41"/>
  </mergeCells>
  <pageMargins left="0.7" right="0.7" top="0.75" bottom="0.75" header="0.3" footer="0.3"/>
  <pageSetup orientation="portrait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79005-8223-4639-96EE-58D99FEB9D56}">
  <dimension ref="A1:R56"/>
  <sheetViews>
    <sheetView topLeftCell="A5" zoomScale="120" zoomScaleNormal="120" workbookViewId="0">
      <selection activeCell="F33" sqref="F33"/>
    </sheetView>
  </sheetViews>
  <sheetFormatPr defaultColWidth="9.140625" defaultRowHeight="11.25" x14ac:dyDescent="0.2"/>
  <cols>
    <col min="1" max="1" width="10.7109375" style="417" customWidth="1"/>
    <col min="2" max="2" width="28.140625" style="417" customWidth="1"/>
    <col min="3" max="3" width="10.5703125" style="417" customWidth="1"/>
    <col min="4" max="4" width="9.42578125" style="417" customWidth="1"/>
    <col min="5" max="5" width="9.140625" style="417"/>
    <col min="6" max="6" width="10.28515625" style="417" customWidth="1"/>
    <col min="7" max="7" width="8.85546875" style="417" customWidth="1"/>
    <col min="8" max="8" width="35.85546875" style="417" bestFit="1" customWidth="1"/>
    <col min="9" max="9" width="14.7109375" style="417" customWidth="1"/>
    <col min="10" max="10" width="14.5703125" style="417" customWidth="1"/>
    <col min="11" max="11" width="11.28515625" style="417" customWidth="1"/>
    <col min="12" max="15" width="9.140625" style="417"/>
    <col min="16" max="16" width="13" style="417" customWidth="1"/>
    <col min="17" max="16384" width="9.140625" style="417"/>
  </cols>
  <sheetData>
    <row r="1" spans="1:18" hidden="1" x14ac:dyDescent="0.2"/>
    <row r="2" spans="1:18" x14ac:dyDescent="0.2">
      <c r="A2" s="786" t="s">
        <v>0</v>
      </c>
      <c r="B2" s="786"/>
      <c r="C2" s="786"/>
      <c r="D2" s="786"/>
      <c r="E2" s="786"/>
      <c r="F2" s="786"/>
      <c r="G2" s="786"/>
      <c r="H2" s="413"/>
    </row>
    <row r="3" spans="1:18" x14ac:dyDescent="0.2">
      <c r="A3" s="787" t="s">
        <v>100</v>
      </c>
      <c r="B3" s="787"/>
      <c r="C3" s="787"/>
      <c r="D3" s="787"/>
      <c r="E3" s="787"/>
      <c r="F3" s="787"/>
      <c r="G3" s="787"/>
      <c r="H3" s="414"/>
    </row>
    <row r="4" spans="1:18" ht="12" thickBot="1" x14ac:dyDescent="0.25">
      <c r="B4" s="265" t="s">
        <v>37</v>
      </c>
      <c r="F4" s="266"/>
      <c r="I4" s="267"/>
    </row>
    <row r="5" spans="1:18" x14ac:dyDescent="0.2">
      <c r="A5" s="788" t="s">
        <v>1</v>
      </c>
      <c r="B5" s="789"/>
      <c r="C5" s="268" t="s">
        <v>2</v>
      </c>
      <c r="D5" s="268" t="s">
        <v>3</v>
      </c>
      <c r="E5" s="268" t="s">
        <v>58</v>
      </c>
      <c r="F5" s="268" t="s">
        <v>5</v>
      </c>
      <c r="G5" s="268" t="s">
        <v>6</v>
      </c>
      <c r="H5" s="269"/>
      <c r="I5" s="269"/>
    </row>
    <row r="6" spans="1:18" x14ac:dyDescent="0.2">
      <c r="A6" s="790" t="s">
        <v>7</v>
      </c>
      <c r="B6" s="791"/>
      <c r="C6" s="270">
        <f>SUM(C7:C16)</f>
        <v>198158.47999999992</v>
      </c>
      <c r="D6" s="271">
        <f>SUM(D7:D16)</f>
        <v>1931.8200000000002</v>
      </c>
      <c r="E6" s="271">
        <f>SUM(E7:E16)</f>
        <v>-5318.55</v>
      </c>
      <c r="F6" s="271">
        <f>SUM(F7:F16)</f>
        <v>205408.84999999992</v>
      </c>
      <c r="G6" s="272">
        <f>SUM(G7:G15)</f>
        <v>0</v>
      </c>
      <c r="H6" s="273"/>
      <c r="I6" s="273"/>
      <c r="J6" s="273"/>
      <c r="K6" s="418"/>
      <c r="P6" s="418"/>
      <c r="R6" s="418"/>
    </row>
    <row r="7" spans="1:18" ht="12" customHeight="1" x14ac:dyDescent="0.2">
      <c r="A7" s="275"/>
      <c r="B7" s="276" t="s">
        <v>23</v>
      </c>
      <c r="C7" s="277">
        <f>'November 2021'!F7</f>
        <v>206336.62999999995</v>
      </c>
      <c r="D7" s="278">
        <f>1500+98.14</f>
        <v>1598.14</v>
      </c>
      <c r="E7" s="278">
        <f>10000+1000+2023.04+220-20885.79</f>
        <v>-7642.75</v>
      </c>
      <c r="F7" s="279">
        <f>C7+D7-E7</f>
        <v>215577.51999999996</v>
      </c>
      <c r="G7" s="280"/>
      <c r="H7" s="281"/>
      <c r="I7" s="418"/>
    </row>
    <row r="8" spans="1:18" x14ac:dyDescent="0.2">
      <c r="A8" s="282"/>
      <c r="B8" s="283" t="s">
        <v>62</v>
      </c>
      <c r="C8" s="277">
        <f>'November 2021'!F8</f>
        <v>-5601.5599999999995</v>
      </c>
      <c r="D8" s="284"/>
      <c r="E8" s="284">
        <v>1837.14</v>
      </c>
      <c r="F8" s="286">
        <f t="shared" ref="F8:F15" si="0">C8+D8-E8</f>
        <v>-7438.7</v>
      </c>
      <c r="G8" s="280"/>
      <c r="H8" s="273"/>
      <c r="I8" s="287"/>
    </row>
    <row r="9" spans="1:18" hidden="1" x14ac:dyDescent="0.2">
      <c r="A9" s="282"/>
      <c r="B9" s="288" t="s">
        <v>67</v>
      </c>
      <c r="C9" s="277">
        <f>'November 2021'!F9</f>
        <v>0</v>
      </c>
      <c r="D9" s="284"/>
      <c r="E9" s="284"/>
      <c r="F9" s="279">
        <f t="shared" si="0"/>
        <v>0</v>
      </c>
      <c r="G9" s="280"/>
      <c r="H9" s="273"/>
      <c r="I9" s="289"/>
      <c r="J9" s="418"/>
    </row>
    <row r="10" spans="1:18" hidden="1" x14ac:dyDescent="0.2">
      <c r="A10" s="282"/>
      <c r="B10" s="288" t="s">
        <v>41</v>
      </c>
      <c r="C10" s="277">
        <f>'November 2021'!F10</f>
        <v>-1.0000000002037268E-2</v>
      </c>
      <c r="D10" s="290"/>
      <c r="E10" s="290"/>
      <c r="F10" s="286">
        <f t="shared" si="0"/>
        <v>-1.0000000002037268E-2</v>
      </c>
      <c r="G10" s="280"/>
      <c r="H10" s="273"/>
      <c r="I10" s="291"/>
      <c r="J10" s="418"/>
    </row>
    <row r="11" spans="1:18" hidden="1" x14ac:dyDescent="0.2">
      <c r="A11" s="282"/>
      <c r="B11" s="288" t="s">
        <v>29</v>
      </c>
      <c r="C11" s="277">
        <f>'November 2021'!F11</f>
        <v>0</v>
      </c>
      <c r="D11" s="292"/>
      <c r="E11" s="292"/>
      <c r="F11" s="279">
        <f t="shared" si="0"/>
        <v>0</v>
      </c>
      <c r="G11" s="280"/>
      <c r="H11" s="273"/>
      <c r="I11" s="293"/>
    </row>
    <row r="12" spans="1:18" x14ac:dyDescent="0.2">
      <c r="A12" s="282"/>
      <c r="B12" s="288" t="s">
        <v>20</v>
      </c>
      <c r="C12" s="277">
        <f>'November 2021'!F12</f>
        <v>-1058.8099999999997</v>
      </c>
      <c r="D12" s="294">
        <v>315.14</v>
      </c>
      <c r="E12" s="294">
        <v>110</v>
      </c>
      <c r="F12" s="295">
        <f>C12+D12-E12</f>
        <v>-853.66999999999973</v>
      </c>
      <c r="G12" s="280"/>
      <c r="H12" s="273"/>
      <c r="I12" s="418"/>
    </row>
    <row r="13" spans="1:18" x14ac:dyDescent="0.2">
      <c r="A13" s="282"/>
      <c r="B13" s="288" t="s">
        <v>22</v>
      </c>
      <c r="C13" s="277">
        <f>'November 2021'!F13</f>
        <v>33.899999999999949</v>
      </c>
      <c r="D13" s="294">
        <v>18.54</v>
      </c>
      <c r="E13" s="294"/>
      <c r="F13" s="295">
        <f>C13+D13-E13</f>
        <v>52.439999999999948</v>
      </c>
      <c r="G13" s="280"/>
      <c r="H13" s="273"/>
      <c r="I13" s="418"/>
    </row>
    <row r="14" spans="1:18" x14ac:dyDescent="0.2">
      <c r="A14" s="282"/>
      <c r="B14" s="288" t="s">
        <v>28</v>
      </c>
      <c r="C14" s="277">
        <f>'November 2021'!F14</f>
        <v>-1649.100000000001</v>
      </c>
      <c r="D14" s="294"/>
      <c r="E14" s="294">
        <v>200.96</v>
      </c>
      <c r="F14" s="286">
        <f t="shared" si="0"/>
        <v>-1850.0600000000011</v>
      </c>
      <c r="G14" s="280"/>
      <c r="H14" s="273"/>
      <c r="I14" s="418"/>
    </row>
    <row r="15" spans="1:18" x14ac:dyDescent="0.2">
      <c r="A15" s="282"/>
      <c r="B15" s="296" t="s">
        <v>42</v>
      </c>
      <c r="C15" s="277">
        <f>'November 2021'!F15</f>
        <v>682.58</v>
      </c>
      <c r="D15" s="284"/>
      <c r="E15" s="284">
        <v>164.36</v>
      </c>
      <c r="F15" s="297">
        <f t="shared" si="0"/>
        <v>518.22</v>
      </c>
      <c r="G15" s="280"/>
      <c r="H15" s="273"/>
      <c r="I15" s="418"/>
    </row>
    <row r="16" spans="1:18" x14ac:dyDescent="0.2">
      <c r="A16" s="282"/>
      <c r="B16" s="296" t="s">
        <v>43</v>
      </c>
      <c r="C16" s="277">
        <f>'November 2021'!F16</f>
        <v>-585.15000000000032</v>
      </c>
      <c r="D16" s="284"/>
      <c r="E16" s="284">
        <v>11.74</v>
      </c>
      <c r="F16" s="295">
        <f>C16+D16-E16</f>
        <v>-596.89000000000033</v>
      </c>
      <c r="G16" s="280"/>
      <c r="H16" s="273"/>
      <c r="I16" s="273"/>
      <c r="P16" s="418"/>
    </row>
    <row r="17" spans="1:16" x14ac:dyDescent="0.2">
      <c r="A17" s="792" t="s">
        <v>53</v>
      </c>
      <c r="B17" s="793"/>
      <c r="C17" s="298">
        <f>SUM(C18:C22)</f>
        <v>-24425.22</v>
      </c>
      <c r="D17" s="299">
        <f>SUM(D18:D22)</f>
        <v>8821</v>
      </c>
      <c r="E17" s="299">
        <f>SUM(E18:E22)</f>
        <v>2803.4900000000002</v>
      </c>
      <c r="F17" s="286">
        <f>SUM(F18:F22)</f>
        <v>-18407.71</v>
      </c>
      <c r="G17" s="300"/>
      <c r="H17" s="273"/>
      <c r="I17" s="273"/>
      <c r="P17" s="418"/>
    </row>
    <row r="18" spans="1:16" x14ac:dyDescent="0.2">
      <c r="A18" s="301"/>
      <c r="B18" s="302" t="s">
        <v>9</v>
      </c>
      <c r="C18" s="303">
        <f>'November 2021'!F18</f>
        <v>-6211.14</v>
      </c>
      <c r="D18" s="304"/>
      <c r="E18" s="305">
        <v>2641.84</v>
      </c>
      <c r="F18" s="306">
        <f>C18+D18-E18</f>
        <v>-8852.98</v>
      </c>
      <c r="G18" s="284"/>
      <c r="H18" s="273"/>
      <c r="I18" s="418"/>
      <c r="J18" s="79"/>
    </row>
    <row r="19" spans="1:16" x14ac:dyDescent="0.2">
      <c r="A19" s="282"/>
      <c r="B19" s="307" t="s">
        <v>8</v>
      </c>
      <c r="C19" s="303">
        <f>'November 2021'!F19</f>
        <v>-14772.7</v>
      </c>
      <c r="D19" s="294"/>
      <c r="E19" s="290">
        <v>58.78</v>
      </c>
      <c r="F19" s="306">
        <f>C19+D19-E19</f>
        <v>-14831.480000000001</v>
      </c>
      <c r="G19" s="308"/>
      <c r="H19" s="273"/>
      <c r="I19" s="418"/>
    </row>
    <row r="20" spans="1:16" x14ac:dyDescent="0.2">
      <c r="A20" s="282"/>
      <c r="B20" s="307" t="s">
        <v>32</v>
      </c>
      <c r="C20" s="303">
        <f>'November 2021'!F20</f>
        <v>4876</v>
      </c>
      <c r="D20" s="294"/>
      <c r="E20" s="290">
        <v>102.87</v>
      </c>
      <c r="F20" s="306">
        <f t="shared" ref="F20:F22" si="1">C20+D20-E20</f>
        <v>4773.13</v>
      </c>
      <c r="G20" s="309"/>
      <c r="H20" s="273"/>
      <c r="I20" s="418"/>
    </row>
    <row r="21" spans="1:16" hidden="1" x14ac:dyDescent="0.2">
      <c r="A21" s="282"/>
      <c r="B21" s="307" t="s">
        <v>67</v>
      </c>
      <c r="C21" s="303">
        <f>'November 2021'!F21</f>
        <v>-9.0951551845463996E-15</v>
      </c>
      <c r="D21" s="294"/>
      <c r="E21" s="294"/>
      <c r="F21" s="306">
        <f t="shared" si="1"/>
        <v>-9.0951551845463996E-15</v>
      </c>
      <c r="G21" s="309"/>
      <c r="H21" s="273"/>
      <c r="I21" s="418"/>
    </row>
    <row r="22" spans="1:16" x14ac:dyDescent="0.2">
      <c r="A22" s="310"/>
      <c r="B22" s="311" t="s">
        <v>38</v>
      </c>
      <c r="C22" s="303">
        <f>'November 2021'!F22</f>
        <v>-8317.3799999999992</v>
      </c>
      <c r="D22" s="312">
        <v>8821</v>
      </c>
      <c r="E22" s="305"/>
      <c r="F22" s="306">
        <f t="shared" si="1"/>
        <v>503.6200000000008</v>
      </c>
      <c r="G22" s="284">
        <v>8500</v>
      </c>
      <c r="H22" s="273"/>
      <c r="I22" s="418"/>
      <c r="J22" s="79"/>
    </row>
    <row r="23" spans="1:16" x14ac:dyDescent="0.2">
      <c r="A23" s="790" t="s">
        <v>10</v>
      </c>
      <c r="B23" s="791"/>
      <c r="C23" s="298">
        <f>SUM(C24:C31)</f>
        <v>177835.93000000002</v>
      </c>
      <c r="D23" s="313">
        <f>SUM(D24:D31)</f>
        <v>124406</v>
      </c>
      <c r="E23" s="314">
        <f>SUM(E24:E31)</f>
        <v>15855.670000000002</v>
      </c>
      <c r="F23" s="314">
        <f>SUM(F24:F31)</f>
        <v>286386.26000000007</v>
      </c>
      <c r="G23" s="315">
        <f>SUM(G31:G35)</f>
        <v>70000</v>
      </c>
      <c r="H23" s="273"/>
      <c r="I23" s="273"/>
      <c r="P23" s="418"/>
    </row>
    <row r="24" spans="1:16" hidden="1" x14ac:dyDescent="0.2">
      <c r="A24" s="301"/>
      <c r="B24" s="316" t="s">
        <v>55</v>
      </c>
      <c r="C24" s="303">
        <f>'February 2021'!G24</f>
        <v>0</v>
      </c>
      <c r="D24" s="317"/>
      <c r="E24" s="304"/>
      <c r="F24" s="318">
        <f>C24+D24-E24</f>
        <v>0</v>
      </c>
      <c r="G24" s="278"/>
      <c r="H24" s="273"/>
      <c r="I24" s="418"/>
      <c r="J24" s="319"/>
    </row>
    <row r="25" spans="1:16" x14ac:dyDescent="0.2">
      <c r="A25" s="310"/>
      <c r="B25" s="296" t="s">
        <v>70</v>
      </c>
      <c r="C25" s="303">
        <f>'November 2021'!F25</f>
        <v>2530.7999999999984</v>
      </c>
      <c r="D25" s="312"/>
      <c r="E25" s="312">
        <f>3188.82-658.1</f>
        <v>2530.7200000000003</v>
      </c>
      <c r="F25" s="318">
        <f>C25+D25-E25</f>
        <v>7.9999999998108251E-2</v>
      </c>
      <c r="G25" s="284"/>
      <c r="H25" s="273"/>
      <c r="I25" s="418"/>
      <c r="J25" s="319"/>
    </row>
    <row r="26" spans="1:16" hidden="1" x14ac:dyDescent="0.2">
      <c r="A26" s="275"/>
      <c r="B26" s="320" t="s">
        <v>34</v>
      </c>
      <c r="C26" s="303">
        <f>'November 2021'!F26</f>
        <v>5.4569682106375694E-12</v>
      </c>
      <c r="D26" s="305"/>
      <c r="E26" s="321"/>
      <c r="F26" s="318">
        <f t="shared" ref="F26:F31" si="2">C26+D26-E26</f>
        <v>5.4569682106375694E-12</v>
      </c>
      <c r="G26" s="284"/>
      <c r="H26" s="273"/>
      <c r="I26" s="418"/>
      <c r="J26" s="418"/>
    </row>
    <row r="27" spans="1:16" hidden="1" x14ac:dyDescent="0.2">
      <c r="A27" s="275"/>
      <c r="B27" s="320" t="s">
        <v>39</v>
      </c>
      <c r="C27" s="303">
        <f>'November 2021'!F27</f>
        <v>8.1854523159563541E-12</v>
      </c>
      <c r="D27" s="312"/>
      <c r="E27" s="305"/>
      <c r="F27" s="318">
        <f t="shared" si="2"/>
        <v>8.1854523159563541E-12</v>
      </c>
      <c r="G27" s="284"/>
      <c r="H27" s="273"/>
      <c r="I27" s="418"/>
      <c r="J27" s="418"/>
    </row>
    <row r="28" spans="1:16" x14ac:dyDescent="0.2">
      <c r="A28" s="275"/>
      <c r="B28" s="320" t="s">
        <v>65</v>
      </c>
      <c r="C28" s="303">
        <f>'November 2021'!F28</f>
        <v>40765.05000000001</v>
      </c>
      <c r="D28" s="312"/>
      <c r="E28" s="312">
        <v>13324.95</v>
      </c>
      <c r="F28" s="318">
        <f t="shared" si="2"/>
        <v>27440.100000000009</v>
      </c>
      <c r="G28" s="284"/>
      <c r="H28" s="273"/>
      <c r="I28" s="418"/>
      <c r="J28" s="418"/>
    </row>
    <row r="29" spans="1:16" x14ac:dyDescent="0.2">
      <c r="A29" s="275"/>
      <c r="B29" s="320" t="s">
        <v>86</v>
      </c>
      <c r="C29" s="303">
        <f>'November 2021'!F29</f>
        <v>134492</v>
      </c>
      <c r="D29" s="312"/>
      <c r="E29" s="312"/>
      <c r="F29" s="318">
        <f t="shared" si="2"/>
        <v>134492</v>
      </c>
      <c r="G29" s="284"/>
      <c r="H29" s="273"/>
      <c r="I29" s="418"/>
      <c r="J29" s="418"/>
    </row>
    <row r="30" spans="1:16" s="419" customFormat="1" x14ac:dyDescent="0.2">
      <c r="A30" s="275"/>
      <c r="B30" s="320" t="s">
        <v>101</v>
      </c>
      <c r="C30" s="303">
        <v>0</v>
      </c>
      <c r="D30" s="312">
        <v>124406</v>
      </c>
      <c r="E30" s="312"/>
      <c r="F30" s="318">
        <f t="shared" si="2"/>
        <v>124406</v>
      </c>
      <c r="G30" s="284"/>
      <c r="H30" s="273"/>
      <c r="I30" s="420"/>
      <c r="J30" s="420"/>
    </row>
    <row r="31" spans="1:16" x14ac:dyDescent="0.2">
      <c r="A31" s="310"/>
      <c r="B31" s="296" t="s">
        <v>44</v>
      </c>
      <c r="C31" s="303">
        <f>'November 2021'!F30</f>
        <v>48.079999999999984</v>
      </c>
      <c r="D31" s="312"/>
      <c r="E31" s="305"/>
      <c r="F31" s="318">
        <f t="shared" si="2"/>
        <v>48.079999999999984</v>
      </c>
      <c r="G31" s="284"/>
      <c r="H31" s="273"/>
      <c r="I31" s="418"/>
      <c r="J31" s="319"/>
    </row>
    <row r="32" spans="1:16" x14ac:dyDescent="0.2">
      <c r="A32" s="790" t="s">
        <v>35</v>
      </c>
      <c r="B32" s="791"/>
      <c r="C32" s="298">
        <f>SUM(C33:C36)</f>
        <v>66815.199999999997</v>
      </c>
      <c r="D32" s="313">
        <f>SUM(D33:D36)</f>
        <v>10000</v>
      </c>
      <c r="E32" s="314">
        <f>SUM(E33:E35)</f>
        <v>2010.85</v>
      </c>
      <c r="F32" s="314">
        <f>SUM(F33:F36)</f>
        <v>74803.87000000001</v>
      </c>
      <c r="G32" s="315">
        <f>SUM(G33:G35)</f>
        <v>35000</v>
      </c>
      <c r="H32" s="273"/>
      <c r="I32" s="273"/>
      <c r="P32" s="418"/>
    </row>
    <row r="33" spans="1:16" x14ac:dyDescent="0.2">
      <c r="A33" s="310"/>
      <c r="B33" s="296" t="s">
        <v>78</v>
      </c>
      <c r="C33" s="303">
        <f>'November 2021'!F32</f>
        <v>17851.62</v>
      </c>
      <c r="D33" s="322"/>
      <c r="E33" s="323">
        <v>440.85</v>
      </c>
      <c r="F33" s="324">
        <f>C33+D33-E33-0.48</f>
        <v>17410.29</v>
      </c>
      <c r="G33" s="284"/>
      <c r="H33" s="273"/>
      <c r="I33" s="418"/>
      <c r="J33" s="319"/>
    </row>
    <row r="34" spans="1:16" x14ac:dyDescent="0.2">
      <c r="A34" s="310"/>
      <c r="B34" s="296" t="s">
        <v>90</v>
      </c>
      <c r="C34" s="303">
        <f>'November 2021'!F33</f>
        <v>26765.700000000008</v>
      </c>
      <c r="D34" s="322"/>
      <c r="E34" s="323">
        <v>816.4</v>
      </c>
      <c r="F34" s="324">
        <f t="shared" ref="F34" si="3">C34+D34-E34</f>
        <v>25949.300000000007</v>
      </c>
      <c r="G34" s="284">
        <v>35000</v>
      </c>
      <c r="H34" s="273"/>
      <c r="I34" s="418"/>
      <c r="J34" s="319"/>
    </row>
    <row r="35" spans="1:16" x14ac:dyDescent="0.2">
      <c r="A35" s="310"/>
      <c r="B35" s="325" t="s">
        <v>77</v>
      </c>
      <c r="C35" s="303">
        <f>'November 2021'!F34</f>
        <v>22197.879999999994</v>
      </c>
      <c r="D35" s="322"/>
      <c r="E35" s="305">
        <v>753.6</v>
      </c>
      <c r="F35" s="324">
        <f>C35+D35-E35</f>
        <v>21444.279999999995</v>
      </c>
      <c r="G35" s="284"/>
      <c r="H35" s="273"/>
      <c r="I35" s="293"/>
      <c r="J35" s="266"/>
      <c r="P35" s="326"/>
    </row>
    <row r="36" spans="1:16" ht="12" thickBot="1" x14ac:dyDescent="0.25">
      <c r="B36" s="417" t="s">
        <v>99</v>
      </c>
      <c r="C36" s="303">
        <v>0</v>
      </c>
      <c r="D36" s="421">
        <v>10000</v>
      </c>
      <c r="F36" s="324">
        <f>C36+D36-E36</f>
        <v>10000</v>
      </c>
    </row>
    <row r="37" spans="1:16" ht="12" thickBot="1" x14ac:dyDescent="0.25">
      <c r="A37" s="794" t="s">
        <v>11</v>
      </c>
      <c r="B37" s="795"/>
      <c r="C37" s="327">
        <f>C32+C23+C17+C6-324.97</f>
        <v>418059.41999999993</v>
      </c>
      <c r="D37" s="328">
        <f>SUM(D23,D17,D6,D32)</f>
        <v>145158.82</v>
      </c>
      <c r="E37" s="328">
        <f>SUM(E23,E17,E6,E32)</f>
        <v>15351.460000000005</v>
      </c>
      <c r="F37" s="329">
        <f>SUM(F23,F17,F6,F32)-324.97</f>
        <v>547866.30000000005</v>
      </c>
      <c r="G37" s="330">
        <f>SUM(G6,G16,G23,G32)</f>
        <v>105000</v>
      </c>
      <c r="H37" s="418"/>
      <c r="I37" s="418"/>
      <c r="J37" s="331"/>
    </row>
    <row r="38" spans="1:16" hidden="1" x14ac:dyDescent="0.2">
      <c r="A38" s="415"/>
      <c r="B38" s="416"/>
      <c r="C38" s="418">
        <f>SUM(C17:C22)</f>
        <v>-48850.439999999995</v>
      </c>
      <c r="D38" s="418"/>
      <c r="E38" s="418"/>
      <c r="F38" s="418"/>
      <c r="G38" s="334"/>
      <c r="H38" s="418"/>
      <c r="K38" s="417" t="s">
        <v>12</v>
      </c>
      <c r="L38" s="417">
        <v>42.43</v>
      </c>
    </row>
    <row r="39" spans="1:16" ht="12" hidden="1" thickBot="1" x14ac:dyDescent="0.25">
      <c r="A39" s="335" t="s">
        <v>25</v>
      </c>
      <c r="B39" s="336"/>
      <c r="C39" s="337" t="e">
        <f>SUM(C37,#REF!)</f>
        <v>#REF!</v>
      </c>
      <c r="D39" s="338" t="e">
        <f>SUM(D37,#REF!)</f>
        <v>#REF!</v>
      </c>
      <c r="E39" s="338" t="e">
        <f>SUM(E37,#REF!)</f>
        <v>#REF!</v>
      </c>
      <c r="F39" s="339" t="e">
        <f>SUM(F37,#REF!)</f>
        <v>#REF!</v>
      </c>
      <c r="G39" s="334"/>
      <c r="H39" s="418"/>
      <c r="I39" s="331"/>
      <c r="J39" s="79">
        <v>206730.35</v>
      </c>
    </row>
    <row r="40" spans="1:16" ht="12" thickBot="1" x14ac:dyDescent="0.25">
      <c r="B40" s="340"/>
      <c r="C40" s="418"/>
      <c r="D40" s="418"/>
      <c r="E40" s="418"/>
      <c r="F40" s="418"/>
      <c r="G40" s="334"/>
      <c r="H40" s="341"/>
      <c r="I40" s="331"/>
      <c r="J40" s="79"/>
      <c r="P40" s="418"/>
    </row>
    <row r="41" spans="1:16" ht="12" thickBot="1" x14ac:dyDescent="0.25">
      <c r="A41" s="796" t="s">
        <v>13</v>
      </c>
      <c r="B41" s="797"/>
      <c r="C41" s="342" t="s">
        <v>2</v>
      </c>
      <c r="D41" s="342" t="s">
        <v>3</v>
      </c>
      <c r="E41" s="342" t="s">
        <v>27</v>
      </c>
      <c r="F41" s="342" t="s">
        <v>5</v>
      </c>
      <c r="G41" s="269"/>
      <c r="H41" s="331"/>
      <c r="I41" s="343"/>
    </row>
    <row r="42" spans="1:16" ht="12" thickBot="1" x14ac:dyDescent="0.25">
      <c r="A42" s="784" t="s">
        <v>14</v>
      </c>
      <c r="B42" s="785"/>
      <c r="C42" s="344">
        <f>'November 2021'!F40</f>
        <v>71.59</v>
      </c>
      <c r="D42" s="345">
        <v>100</v>
      </c>
      <c r="E42" s="345">
        <v>17.28</v>
      </c>
      <c r="F42" s="346">
        <f>C42+D42-E42</f>
        <v>154.31</v>
      </c>
      <c r="G42" s="418"/>
      <c r="I42" s="331"/>
      <c r="J42" s="79"/>
    </row>
    <row r="43" spans="1:16" ht="12" thickBot="1" x14ac:dyDescent="0.25">
      <c r="A43" s="798" t="s">
        <v>15</v>
      </c>
      <c r="B43" s="799"/>
      <c r="C43" s="344">
        <f>'November 2021'!F41</f>
        <v>24931.080000000013</v>
      </c>
      <c r="D43" s="347"/>
      <c r="E43" s="347">
        <v>21680.46</v>
      </c>
      <c r="F43" s="346">
        <f t="shared" ref="F43:F48" si="4">C43+D43-E43</f>
        <v>3250.6200000000135</v>
      </c>
      <c r="G43" s="418"/>
      <c r="H43" s="349"/>
      <c r="I43" s="331"/>
    </row>
    <row r="44" spans="1:16" ht="12" thickBot="1" x14ac:dyDescent="0.25">
      <c r="A44" s="350"/>
      <c r="B44" s="351" t="s">
        <v>21</v>
      </c>
      <c r="C44" s="344">
        <f>'November 2021'!F42</f>
        <v>0</v>
      </c>
      <c r="D44" s="352"/>
      <c r="E44" s="352"/>
      <c r="F44" s="346">
        <f t="shared" si="4"/>
        <v>0</v>
      </c>
      <c r="G44" s="418"/>
      <c r="H44" s="349"/>
      <c r="I44" s="79"/>
    </row>
    <row r="45" spans="1:16" ht="12" thickBot="1" x14ac:dyDescent="0.25">
      <c r="A45" s="350"/>
      <c r="B45" s="351" t="s">
        <v>40</v>
      </c>
      <c r="C45" s="344">
        <f>'November 2021'!F43</f>
        <v>-5935.58</v>
      </c>
      <c r="D45" s="353">
        <v>5434.11</v>
      </c>
      <c r="E45" s="353">
        <v>1556.7</v>
      </c>
      <c r="F45" s="346">
        <f>C45+D45-E45</f>
        <v>-2058.17</v>
      </c>
      <c r="G45" s="418"/>
      <c r="H45" s="79"/>
      <c r="I45" s="79"/>
    </row>
    <row r="46" spans="1:16" ht="12" thickBot="1" x14ac:dyDescent="0.25">
      <c r="A46" s="784" t="s">
        <v>16</v>
      </c>
      <c r="B46" s="785"/>
      <c r="C46" s="344">
        <f>'November 2021'!F44</f>
        <v>159225.85000000006</v>
      </c>
      <c r="D46" s="355">
        <v>148509.48000000001</v>
      </c>
      <c r="E46" s="355"/>
      <c r="F46" s="346">
        <f t="shared" si="4"/>
        <v>307735.33000000007</v>
      </c>
      <c r="G46" s="418"/>
      <c r="H46" s="79"/>
      <c r="I46" s="79"/>
    </row>
    <row r="47" spans="1:16" ht="12" thickBot="1" x14ac:dyDescent="0.25">
      <c r="A47" s="357" t="s">
        <v>46</v>
      </c>
      <c r="B47" s="358"/>
      <c r="C47" s="344">
        <f>'November 2021'!F45</f>
        <v>239774.68</v>
      </c>
      <c r="D47" s="322">
        <v>49.34</v>
      </c>
      <c r="E47" s="322">
        <f>1000+31.2</f>
        <v>1031.2</v>
      </c>
      <c r="F47" s="346">
        <f t="shared" si="4"/>
        <v>238792.81999999998</v>
      </c>
      <c r="G47" s="418"/>
      <c r="H47" s="79"/>
      <c r="I47" s="79"/>
    </row>
    <row r="48" spans="1:16" ht="12" thickBot="1" x14ac:dyDescent="0.25">
      <c r="A48" s="800"/>
      <c r="B48" s="795"/>
      <c r="C48" s="360">
        <f>SUM(C42+C43+C46+C47+C45+C44)</f>
        <v>418067.62000000005</v>
      </c>
      <c r="D48" s="361">
        <f>SUM(D42:D47)</f>
        <v>154092.93</v>
      </c>
      <c r="E48" s="361">
        <f>SUM(E42:E47)</f>
        <v>24285.64</v>
      </c>
      <c r="F48" s="346">
        <f t="shared" si="4"/>
        <v>547874.91</v>
      </c>
      <c r="G48" s="418"/>
      <c r="H48" s="331"/>
      <c r="I48" s="79"/>
      <c r="J48" s="266"/>
    </row>
    <row r="49" spans="1:16" x14ac:dyDescent="0.2">
      <c r="A49" s="415"/>
      <c r="B49" s="416"/>
      <c r="C49" s="418">
        <f>C37-C48</f>
        <v>-8.2000000001280569</v>
      </c>
      <c r="D49" s="418"/>
      <c r="E49" s="418"/>
      <c r="F49" s="418">
        <f>F37-F48</f>
        <v>-8.6099999999860302</v>
      </c>
      <c r="H49" s="418"/>
      <c r="I49" s="331"/>
      <c r="J49" s="331"/>
      <c r="K49" s="266"/>
    </row>
    <row r="50" spans="1:16" x14ac:dyDescent="0.2">
      <c r="B50" s="340"/>
      <c r="C50" s="418"/>
      <c r="D50" s="418"/>
      <c r="E50" s="418"/>
      <c r="F50" s="418"/>
      <c r="G50" s="418"/>
      <c r="H50" s="418"/>
      <c r="I50" s="331"/>
    </row>
    <row r="51" spans="1:16" x14ac:dyDescent="0.2">
      <c r="A51" s="801" t="s">
        <v>17</v>
      </c>
      <c r="B51" s="801"/>
      <c r="C51" s="801"/>
      <c r="D51" s="801"/>
      <c r="E51" s="802" t="s">
        <v>18</v>
      </c>
      <c r="F51" s="802"/>
      <c r="G51" s="418"/>
      <c r="H51" s="418"/>
      <c r="J51" s="331"/>
    </row>
    <row r="52" spans="1:16" x14ac:dyDescent="0.2">
      <c r="C52" s="418"/>
      <c r="D52" s="418"/>
      <c r="E52" s="418"/>
      <c r="F52" s="418"/>
      <c r="G52" s="418"/>
      <c r="H52" s="418"/>
    </row>
    <row r="53" spans="1:16" x14ac:dyDescent="0.2">
      <c r="A53" s="801" t="s">
        <v>19</v>
      </c>
      <c r="B53" s="801"/>
      <c r="C53" s="801"/>
      <c r="D53" s="801"/>
      <c r="E53" s="802" t="s">
        <v>18</v>
      </c>
      <c r="F53" s="802"/>
      <c r="G53" s="418"/>
      <c r="H53" s="418"/>
    </row>
    <row r="54" spans="1:16" x14ac:dyDescent="0.2">
      <c r="A54" s="415"/>
      <c r="B54" s="416"/>
      <c r="C54" s="266"/>
      <c r="D54" s="266"/>
      <c r="E54" s="266"/>
      <c r="F54" s="79"/>
      <c r="G54" s="266"/>
      <c r="H54" s="266"/>
      <c r="I54" s="331"/>
      <c r="J54" s="79"/>
      <c r="P54" s="364"/>
    </row>
    <row r="55" spans="1:16" x14ac:dyDescent="0.2">
      <c r="B55" s="340"/>
      <c r="C55" s="331"/>
      <c r="D55" s="331"/>
      <c r="E55" s="331"/>
      <c r="F55" s="331"/>
      <c r="I55" s="331"/>
      <c r="J55" s="343"/>
      <c r="L55" s="266"/>
      <c r="P55" s="364"/>
    </row>
    <row r="56" spans="1:16" x14ac:dyDescent="0.2">
      <c r="B56" s="340"/>
      <c r="C56" s="79"/>
      <c r="D56" s="331"/>
      <c r="F56" s="331"/>
      <c r="J56" s="331"/>
    </row>
  </sheetData>
  <mergeCells count="17">
    <mergeCell ref="A46:B46"/>
    <mergeCell ref="A2:G2"/>
    <mergeCell ref="A3:G3"/>
    <mergeCell ref="A5:B5"/>
    <mergeCell ref="A6:B6"/>
    <mergeCell ref="A17:B17"/>
    <mergeCell ref="A23:B23"/>
    <mergeCell ref="A32:B32"/>
    <mergeCell ref="A37:B37"/>
    <mergeCell ref="A41:B41"/>
    <mergeCell ref="A42:B42"/>
    <mergeCell ref="A43:B43"/>
    <mergeCell ref="A48:B48"/>
    <mergeCell ref="A51:D51"/>
    <mergeCell ref="E51:F51"/>
    <mergeCell ref="A53:D53"/>
    <mergeCell ref="E53:F53"/>
  </mergeCells>
  <pageMargins left="0.7" right="0.7" top="0.75" bottom="0.75" header="0.3" footer="0.3"/>
  <legacy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7D694-CC46-4B91-AA61-EF6ACD619A31}">
  <dimension ref="A1:R56"/>
  <sheetViews>
    <sheetView topLeftCell="A8" zoomScale="120" zoomScaleNormal="120" workbookViewId="0">
      <selection activeCell="H40" sqref="H40"/>
    </sheetView>
  </sheetViews>
  <sheetFormatPr defaultColWidth="9.140625" defaultRowHeight="11.25" x14ac:dyDescent="0.2"/>
  <cols>
    <col min="1" max="1" width="10.7109375" style="425" customWidth="1"/>
    <col min="2" max="2" width="28.140625" style="425" customWidth="1"/>
    <col min="3" max="3" width="10.5703125" style="425" customWidth="1"/>
    <col min="4" max="4" width="9.42578125" style="425" customWidth="1"/>
    <col min="5" max="5" width="9.140625" style="425"/>
    <col min="6" max="6" width="10.28515625" style="425" customWidth="1"/>
    <col min="7" max="7" width="8.85546875" style="425" customWidth="1"/>
    <col min="8" max="8" width="35.85546875" style="425" bestFit="1" customWidth="1"/>
    <col min="9" max="9" width="14.7109375" style="425" customWidth="1"/>
    <col min="10" max="10" width="14.5703125" style="425" customWidth="1"/>
    <col min="11" max="11" width="11.28515625" style="425" customWidth="1"/>
    <col min="12" max="15" width="9.140625" style="425"/>
    <col min="16" max="16" width="13" style="425" customWidth="1"/>
    <col min="17" max="16384" width="9.140625" style="425"/>
  </cols>
  <sheetData>
    <row r="1" spans="1:18" hidden="1" x14ac:dyDescent="0.2"/>
    <row r="2" spans="1:18" x14ac:dyDescent="0.2">
      <c r="A2" s="786" t="s">
        <v>0</v>
      </c>
      <c r="B2" s="786"/>
      <c r="C2" s="786"/>
      <c r="D2" s="786"/>
      <c r="E2" s="786"/>
      <c r="F2" s="786"/>
      <c r="G2" s="786"/>
      <c r="H2" s="427"/>
    </row>
    <row r="3" spans="1:18" x14ac:dyDescent="0.2">
      <c r="A3" s="787" t="s">
        <v>102</v>
      </c>
      <c r="B3" s="787"/>
      <c r="C3" s="787"/>
      <c r="D3" s="787"/>
      <c r="E3" s="787"/>
      <c r="F3" s="787"/>
      <c r="G3" s="787"/>
      <c r="H3" s="428"/>
    </row>
    <row r="4" spans="1:18" ht="12" thickBot="1" x14ac:dyDescent="0.25">
      <c r="B4" s="265" t="s">
        <v>37</v>
      </c>
      <c r="F4" s="266"/>
      <c r="I4" s="267"/>
    </row>
    <row r="5" spans="1:18" x14ac:dyDescent="0.2">
      <c r="A5" s="788" t="s">
        <v>1</v>
      </c>
      <c r="B5" s="789"/>
      <c r="C5" s="268" t="s">
        <v>2</v>
      </c>
      <c r="D5" s="268" t="s">
        <v>3</v>
      </c>
      <c r="E5" s="268" t="s">
        <v>58</v>
      </c>
      <c r="F5" s="268" t="s">
        <v>5</v>
      </c>
      <c r="G5" s="268" t="s">
        <v>6</v>
      </c>
      <c r="H5" s="269"/>
      <c r="I5" s="269"/>
    </row>
    <row r="6" spans="1:18" ht="15" x14ac:dyDescent="0.25">
      <c r="A6" s="803" t="s">
        <v>7</v>
      </c>
      <c r="B6" s="804"/>
      <c r="C6" s="270">
        <f>SUM(C7:C16)</f>
        <v>205408.84999999992</v>
      </c>
      <c r="D6" s="271">
        <f>SUM(D7:D16)</f>
        <v>9516.4599999999991</v>
      </c>
      <c r="E6" s="271">
        <f>SUM(E7:E16)</f>
        <v>22246.27</v>
      </c>
      <c r="F6" s="271">
        <f>SUM(F7:F16)</f>
        <v>192679.03999999992</v>
      </c>
      <c r="G6" s="272">
        <f>SUM(G7:G15)</f>
        <v>0</v>
      </c>
      <c r="H6" s="273"/>
      <c r="I6" s="273"/>
      <c r="J6" s="273"/>
      <c r="K6" s="426"/>
      <c r="P6" s="426"/>
      <c r="R6" s="426"/>
    </row>
    <row r="7" spans="1:18" ht="12" customHeight="1" x14ac:dyDescent="0.2">
      <c r="A7" s="275"/>
      <c r="B7" s="276" t="s">
        <v>23</v>
      </c>
      <c r="C7" s="277">
        <f>'December 2021'!F7</f>
        <v>215577.51999999996</v>
      </c>
      <c r="D7" s="278">
        <v>114.15</v>
      </c>
      <c r="E7" s="430">
        <f>1000+2873.76+1730.96+25+300+3000+5464+4444.79+550</f>
        <v>19388.510000000002</v>
      </c>
      <c r="F7" s="279">
        <f>C7+D7-E7</f>
        <v>196303.15999999995</v>
      </c>
      <c r="G7" s="280"/>
      <c r="H7" s="281"/>
      <c r="I7" s="426"/>
    </row>
    <row r="8" spans="1:18" x14ac:dyDescent="0.2">
      <c r="A8" s="282"/>
      <c r="B8" s="283" t="s">
        <v>62</v>
      </c>
      <c r="C8" s="277">
        <f>'December 2021'!F8</f>
        <v>-7438.7</v>
      </c>
      <c r="D8" s="284">
        <v>7454</v>
      </c>
      <c r="E8" s="284">
        <v>2827.28</v>
      </c>
      <c r="F8" s="286">
        <f t="shared" ref="F8:F15" si="0">C8+D8-E8</f>
        <v>-2811.98</v>
      </c>
      <c r="G8" s="280"/>
      <c r="H8" s="273"/>
      <c r="I8" s="287"/>
    </row>
    <row r="9" spans="1:18" hidden="1" x14ac:dyDescent="0.2">
      <c r="A9" s="282"/>
      <c r="B9" s="288" t="s">
        <v>67</v>
      </c>
      <c r="C9" s="277">
        <f>'December 2021'!F9</f>
        <v>0</v>
      </c>
      <c r="D9" s="284"/>
      <c r="E9" s="284"/>
      <c r="F9" s="279">
        <f t="shared" si="0"/>
        <v>0</v>
      </c>
      <c r="G9" s="280"/>
      <c r="H9" s="273"/>
      <c r="I9" s="289"/>
      <c r="J9" s="426"/>
    </row>
    <row r="10" spans="1:18" hidden="1" x14ac:dyDescent="0.2">
      <c r="A10" s="282"/>
      <c r="B10" s="288" t="s">
        <v>41</v>
      </c>
      <c r="C10" s="277">
        <f>'December 2021'!F10</f>
        <v>-1.0000000002037268E-2</v>
      </c>
      <c r="D10" s="290"/>
      <c r="E10" s="290"/>
      <c r="F10" s="286">
        <f t="shared" si="0"/>
        <v>-1.0000000002037268E-2</v>
      </c>
      <c r="G10" s="280"/>
      <c r="H10" s="273"/>
      <c r="I10" s="291"/>
      <c r="J10" s="426"/>
    </row>
    <row r="11" spans="1:18" hidden="1" x14ac:dyDescent="0.2">
      <c r="A11" s="282"/>
      <c r="B11" s="288" t="s">
        <v>29</v>
      </c>
      <c r="C11" s="277">
        <f>'December 2021'!F11</f>
        <v>0</v>
      </c>
      <c r="D11" s="292"/>
      <c r="E11" s="292"/>
      <c r="F11" s="279">
        <f t="shared" si="0"/>
        <v>0</v>
      </c>
      <c r="G11" s="280"/>
      <c r="H11" s="273"/>
      <c r="I11" s="293"/>
    </row>
    <row r="12" spans="1:18" x14ac:dyDescent="0.2">
      <c r="A12" s="282"/>
      <c r="B12" s="288" t="s">
        <v>20</v>
      </c>
      <c r="C12" s="277">
        <f>'December 2021'!F12</f>
        <v>-853.66999999999973</v>
      </c>
      <c r="D12" s="294">
        <v>235.79</v>
      </c>
      <c r="E12" s="294">
        <v>30.48</v>
      </c>
      <c r="F12" s="295">
        <f>C12+D12-E12</f>
        <v>-648.35999999999979</v>
      </c>
      <c r="G12" s="280"/>
      <c r="H12" s="273"/>
      <c r="I12" s="426"/>
    </row>
    <row r="13" spans="1:18" x14ac:dyDescent="0.2">
      <c r="A13" s="282"/>
      <c r="B13" s="288" t="s">
        <v>22</v>
      </c>
      <c r="C13" s="277">
        <f>'December 2021'!F13</f>
        <v>52.439999999999948</v>
      </c>
      <c r="D13" s="294">
        <v>16.21</v>
      </c>
      <c r="E13" s="294"/>
      <c r="F13" s="295">
        <f>C13+D13-E13</f>
        <v>68.649999999999949</v>
      </c>
      <c r="G13" s="280"/>
      <c r="H13" s="273"/>
      <c r="I13" s="426"/>
    </row>
    <row r="14" spans="1:18" x14ac:dyDescent="0.2">
      <c r="A14" s="282"/>
      <c r="B14" s="288" t="s">
        <v>28</v>
      </c>
      <c r="C14" s="277">
        <f>'December 2021'!F14</f>
        <v>-1850.0600000000011</v>
      </c>
      <c r="D14" s="294">
        <v>1696.31</v>
      </c>
      <c r="E14" s="294"/>
      <c r="F14" s="286">
        <f t="shared" si="0"/>
        <v>-153.75000000000114</v>
      </c>
      <c r="G14" s="280"/>
      <c r="H14" s="273"/>
      <c r="I14" s="426"/>
    </row>
    <row r="15" spans="1:18" x14ac:dyDescent="0.2">
      <c r="A15" s="282"/>
      <c r="B15" s="296" t="s">
        <v>42</v>
      </c>
      <c r="C15" s="277">
        <f>'December 2021'!F15</f>
        <v>518.22</v>
      </c>
      <c r="D15" s="284"/>
      <c r="E15" s="284"/>
      <c r="F15" s="297">
        <f t="shared" si="0"/>
        <v>518.22</v>
      </c>
      <c r="G15" s="280"/>
      <c r="H15" s="273"/>
      <c r="I15" s="426"/>
    </row>
    <row r="16" spans="1:18" x14ac:dyDescent="0.2">
      <c r="A16" s="282"/>
      <c r="B16" s="296" t="s">
        <v>43</v>
      </c>
      <c r="C16" s="277">
        <f>'December 2021'!F16</f>
        <v>-596.89000000000033</v>
      </c>
      <c r="D16" s="284"/>
      <c r="E16" s="284"/>
      <c r="F16" s="295">
        <f>C16+D16-E16</f>
        <v>-596.89000000000033</v>
      </c>
      <c r="G16" s="280"/>
      <c r="H16" s="273"/>
      <c r="I16" s="273"/>
      <c r="P16" s="426"/>
    </row>
    <row r="17" spans="1:16" ht="15" x14ac:dyDescent="0.25">
      <c r="A17" s="805" t="s">
        <v>53</v>
      </c>
      <c r="B17" s="806"/>
      <c r="C17" s="298">
        <f>SUM(C18:C22)</f>
        <v>-18911.329999999998</v>
      </c>
      <c r="D17" s="299">
        <f>SUM(D18:D22)</f>
        <v>12760.73</v>
      </c>
      <c r="E17" s="299">
        <f>SUM(E18:E22)</f>
        <v>6049.14</v>
      </c>
      <c r="F17" s="286">
        <f>SUM(F18:F22)</f>
        <v>-12199.740000000002</v>
      </c>
      <c r="G17" s="300"/>
      <c r="H17" s="273"/>
      <c r="I17" s="273"/>
      <c r="P17" s="426"/>
    </row>
    <row r="18" spans="1:16" x14ac:dyDescent="0.2">
      <c r="A18" s="301"/>
      <c r="B18" s="302" t="s">
        <v>9</v>
      </c>
      <c r="C18" s="303">
        <f>'December 2021'!F18</f>
        <v>-8852.98</v>
      </c>
      <c r="D18" s="304"/>
      <c r="E18" s="305">
        <v>4313.63</v>
      </c>
      <c r="F18" s="306">
        <f>C18+D18-E18</f>
        <v>-13166.61</v>
      </c>
      <c r="G18" s="284">
        <v>30352</v>
      </c>
      <c r="H18" s="273"/>
      <c r="I18" s="426"/>
      <c r="J18" s="79"/>
    </row>
    <row r="19" spans="1:16" x14ac:dyDescent="0.2">
      <c r="A19" s="282"/>
      <c r="B19" s="307" t="s">
        <v>8</v>
      </c>
      <c r="C19" s="303">
        <f>'December 2021'!F19</f>
        <v>-14831.480000000001</v>
      </c>
      <c r="D19" s="294">
        <v>12760.73</v>
      </c>
      <c r="E19" s="290">
        <v>732.38</v>
      </c>
      <c r="F19" s="306">
        <f>C19+D19-E19</f>
        <v>-2803.1300000000019</v>
      </c>
      <c r="G19" s="308"/>
      <c r="H19" s="273"/>
      <c r="I19" s="426"/>
    </row>
    <row r="20" spans="1:16" x14ac:dyDescent="0.2">
      <c r="A20" s="282"/>
      <c r="B20" s="307" t="s">
        <v>32</v>
      </c>
      <c r="C20" s="303">
        <f>'December 2021'!F20</f>
        <v>4773.13</v>
      </c>
      <c r="D20" s="294"/>
      <c r="E20" s="290">
        <f>152.43</f>
        <v>152.43</v>
      </c>
      <c r="F20" s="306">
        <f t="shared" ref="F20:F21" si="1">C20+D20-E20</f>
        <v>4620.7</v>
      </c>
      <c r="G20" s="309"/>
      <c r="H20" s="273"/>
      <c r="I20" s="426"/>
    </row>
    <row r="21" spans="1:16" hidden="1" x14ac:dyDescent="0.2">
      <c r="A21" s="282"/>
      <c r="B21" s="307" t="s">
        <v>67</v>
      </c>
      <c r="C21" s="303">
        <f>'December 2021'!F21</f>
        <v>-9.0951551845463996E-15</v>
      </c>
      <c r="D21" s="294"/>
      <c r="E21" s="294"/>
      <c r="F21" s="306">
        <f t="shared" si="1"/>
        <v>-9.0951551845463996E-15</v>
      </c>
      <c r="G21" s="309"/>
      <c r="H21" s="273"/>
      <c r="I21" s="426"/>
    </row>
    <row r="22" spans="1:16" x14ac:dyDescent="0.2">
      <c r="A22" s="310"/>
      <c r="B22" s="311" t="s">
        <v>38</v>
      </c>
      <c r="C22" s="303">
        <v>0</v>
      </c>
      <c r="D22" s="312"/>
      <c r="E22" s="305">
        <f>731.64+119.06</f>
        <v>850.7</v>
      </c>
      <c r="F22" s="306">
        <f>C22+D22-E22</f>
        <v>-850.7</v>
      </c>
      <c r="G22" s="284">
        <v>8500</v>
      </c>
      <c r="H22" s="273"/>
      <c r="I22" s="426"/>
      <c r="J22" s="79"/>
    </row>
    <row r="23" spans="1:16" x14ac:dyDescent="0.2">
      <c r="A23" s="807" t="s">
        <v>10</v>
      </c>
      <c r="B23" s="808"/>
      <c r="C23" s="298">
        <f>SUM(C24:C31)</f>
        <v>286386.26000000007</v>
      </c>
      <c r="D23" s="313">
        <f>SUM(D24:D31)</f>
        <v>18710</v>
      </c>
      <c r="E23" s="314">
        <f>SUM(E24:E31)</f>
        <v>11328.7</v>
      </c>
      <c r="F23" s="314">
        <f>SUM(F24:F31)</f>
        <v>293767.56000000006</v>
      </c>
      <c r="G23" s="315">
        <f>SUM(G31:G35)</f>
        <v>70000</v>
      </c>
      <c r="H23" s="273"/>
      <c r="I23" s="273"/>
      <c r="P23" s="426"/>
    </row>
    <row r="24" spans="1:16" hidden="1" x14ac:dyDescent="0.2">
      <c r="A24" s="301"/>
      <c r="B24" s="316" t="s">
        <v>55</v>
      </c>
      <c r="C24" s="303">
        <f>'February 2021'!G24</f>
        <v>0</v>
      </c>
      <c r="D24" s="317"/>
      <c r="E24" s="304"/>
      <c r="F24" s="318">
        <f>C24+D24-E24</f>
        <v>0</v>
      </c>
      <c r="G24" s="278"/>
      <c r="H24" s="273"/>
      <c r="I24" s="426"/>
      <c r="J24" s="319"/>
    </row>
    <row r="25" spans="1:16" x14ac:dyDescent="0.2">
      <c r="A25" s="310"/>
      <c r="B25" s="296" t="s">
        <v>70</v>
      </c>
      <c r="C25" s="303">
        <f>'December 2021'!F25</f>
        <v>7.9999999998108251E-2</v>
      </c>
      <c r="D25" s="312"/>
      <c r="E25" s="312"/>
      <c r="F25" s="318">
        <f>C25+D25-E25</f>
        <v>7.9999999998108251E-2</v>
      </c>
      <c r="G25" s="284"/>
      <c r="H25" s="273"/>
      <c r="I25" s="426"/>
      <c r="J25" s="319"/>
    </row>
    <row r="26" spans="1:16" x14ac:dyDescent="0.2">
      <c r="A26" s="275"/>
      <c r="B26" s="320" t="s">
        <v>105</v>
      </c>
      <c r="C26" s="303">
        <f>'December 2021'!F26</f>
        <v>5.4569682106375694E-12</v>
      </c>
      <c r="D26" s="305">
        <v>18710</v>
      </c>
      <c r="E26" s="321"/>
      <c r="F26" s="318">
        <f t="shared" ref="F26:F31" si="2">C26+D26-E26</f>
        <v>18710.000000000007</v>
      </c>
      <c r="G26" s="284"/>
      <c r="H26" s="273"/>
      <c r="I26" s="426"/>
      <c r="J26" s="426"/>
    </row>
    <row r="27" spans="1:16" hidden="1" x14ac:dyDescent="0.2">
      <c r="A27" s="275"/>
      <c r="B27" s="320" t="s">
        <v>39</v>
      </c>
      <c r="C27" s="303">
        <f>'December 2021'!F27</f>
        <v>8.1854523159563541E-12</v>
      </c>
      <c r="D27" s="312"/>
      <c r="E27" s="305"/>
      <c r="F27" s="318">
        <f t="shared" si="2"/>
        <v>8.1854523159563541E-12</v>
      </c>
      <c r="G27" s="284"/>
      <c r="H27" s="273"/>
      <c r="I27" s="426"/>
      <c r="J27" s="426"/>
    </row>
    <row r="28" spans="1:16" x14ac:dyDescent="0.2">
      <c r="A28" s="275"/>
      <c r="B28" s="320" t="s">
        <v>65</v>
      </c>
      <c r="C28" s="303">
        <f>'December 2021'!F28</f>
        <v>27440.100000000009</v>
      </c>
      <c r="D28" s="312"/>
      <c r="E28" s="312">
        <v>11328.7</v>
      </c>
      <c r="F28" s="318">
        <f t="shared" si="2"/>
        <v>16111.400000000009</v>
      </c>
      <c r="G28" s="284"/>
      <c r="H28" s="273"/>
      <c r="I28" s="426"/>
      <c r="J28" s="426"/>
    </row>
    <row r="29" spans="1:16" x14ac:dyDescent="0.2">
      <c r="A29" s="275"/>
      <c r="B29" s="320" t="s">
        <v>86</v>
      </c>
      <c r="C29" s="303">
        <f>'December 2021'!F29</f>
        <v>134492</v>
      </c>
      <c r="D29" s="312"/>
      <c r="E29" s="312"/>
      <c r="F29" s="318">
        <f t="shared" si="2"/>
        <v>134492</v>
      </c>
      <c r="G29" s="284"/>
      <c r="H29" s="273"/>
      <c r="I29" s="426"/>
      <c r="J29" s="426"/>
    </row>
    <row r="30" spans="1:16" x14ac:dyDescent="0.2">
      <c r="A30" s="275"/>
      <c r="B30" s="320" t="s">
        <v>101</v>
      </c>
      <c r="C30" s="303">
        <f>'December 2021'!F30</f>
        <v>124406</v>
      </c>
      <c r="D30" s="312"/>
      <c r="E30" s="312"/>
      <c r="F30" s="318">
        <f t="shared" si="2"/>
        <v>124406</v>
      </c>
      <c r="G30" s="284"/>
      <c r="H30" s="273"/>
      <c r="I30" s="426"/>
      <c r="J30" s="426"/>
    </row>
    <row r="31" spans="1:16" x14ac:dyDescent="0.2">
      <c r="A31" s="310"/>
      <c r="B31" s="296" t="s">
        <v>44</v>
      </c>
      <c r="C31" s="303">
        <f>'December 2021'!F31</f>
        <v>48.079999999999984</v>
      </c>
      <c r="D31" s="312"/>
      <c r="E31" s="305"/>
      <c r="F31" s="318">
        <f t="shared" si="2"/>
        <v>48.079999999999984</v>
      </c>
      <c r="G31" s="284"/>
      <c r="H31" s="273"/>
      <c r="I31" s="426"/>
      <c r="J31" s="319"/>
    </row>
    <row r="32" spans="1:16" x14ac:dyDescent="0.2">
      <c r="A32" s="809" t="s">
        <v>35</v>
      </c>
      <c r="B32" s="810"/>
      <c r="C32" s="298">
        <f>SUM(C33:C36)</f>
        <v>74621.89</v>
      </c>
      <c r="D32" s="313">
        <f>SUM(D33:D36)</f>
        <v>9157</v>
      </c>
      <c r="E32" s="314">
        <f>SUM(E33:E35)</f>
        <v>1764.15</v>
      </c>
      <c r="F32" s="314">
        <f>SUM(F33:F36)</f>
        <v>82014.740000000005</v>
      </c>
      <c r="G32" s="315">
        <f>SUM(G33:G35)</f>
        <v>35000</v>
      </c>
      <c r="H32" s="273"/>
      <c r="I32" s="273"/>
      <c r="P32" s="426"/>
    </row>
    <row r="33" spans="1:16" x14ac:dyDescent="0.2">
      <c r="A33" s="310"/>
      <c r="B33" s="296" t="s">
        <v>104</v>
      </c>
      <c r="C33" s="303">
        <v>17228.310000000001</v>
      </c>
      <c r="D33" s="322">
        <v>8607</v>
      </c>
      <c r="E33" s="323"/>
      <c r="F33" s="324">
        <f>C33+D33-E33</f>
        <v>25835.31</v>
      </c>
      <c r="G33" s="284"/>
      <c r="H33" s="273"/>
      <c r="I33" s="426"/>
      <c r="J33" s="319"/>
    </row>
    <row r="34" spans="1:16" x14ac:dyDescent="0.2">
      <c r="A34" s="310"/>
      <c r="B34" s="296" t="s">
        <v>90</v>
      </c>
      <c r="C34" s="303">
        <f>'December 2021'!F34</f>
        <v>25949.300000000007</v>
      </c>
      <c r="D34" s="322"/>
      <c r="E34" s="323">
        <v>795.14</v>
      </c>
      <c r="F34" s="324">
        <f t="shared" ref="F34" si="3">C34+D34-E34</f>
        <v>25154.160000000007</v>
      </c>
      <c r="G34" s="284">
        <v>35000</v>
      </c>
      <c r="H34" s="273"/>
      <c r="I34" s="426"/>
      <c r="J34" s="319"/>
    </row>
    <row r="35" spans="1:16" x14ac:dyDescent="0.2">
      <c r="A35" s="310"/>
      <c r="B35" s="325" t="s">
        <v>103</v>
      </c>
      <c r="C35" s="303">
        <f>'December 2021'!F35</f>
        <v>21444.279999999995</v>
      </c>
      <c r="D35" s="322"/>
      <c r="E35" s="305">
        <v>969.01</v>
      </c>
      <c r="F35" s="324">
        <f>C35+D35-E35</f>
        <v>20475.269999999997</v>
      </c>
      <c r="G35" s="284"/>
      <c r="H35" s="273"/>
      <c r="I35" s="293"/>
      <c r="J35" s="266"/>
      <c r="P35" s="326"/>
    </row>
    <row r="36" spans="1:16" ht="12" thickBot="1" x14ac:dyDescent="0.25">
      <c r="B36" s="425" t="s">
        <v>99</v>
      </c>
      <c r="C36" s="303">
        <f>'December 2021'!F36</f>
        <v>10000</v>
      </c>
      <c r="D36" s="431">
        <v>550</v>
      </c>
      <c r="F36" s="324">
        <f>C36+D36-E36</f>
        <v>10550</v>
      </c>
    </row>
    <row r="37" spans="1:16" ht="12" thickBot="1" x14ac:dyDescent="0.25">
      <c r="A37" s="794" t="s">
        <v>11</v>
      </c>
      <c r="B37" s="795"/>
      <c r="C37" s="327">
        <f>C32+C23+C17+C6</f>
        <v>547505.66999999993</v>
      </c>
      <c r="D37" s="328">
        <f>SUM(D23,D17,D6,D32)</f>
        <v>50144.19</v>
      </c>
      <c r="E37" s="328">
        <f>SUM(E23,E17,E6,E32)</f>
        <v>41388.26</v>
      </c>
      <c r="F37" s="329">
        <f>SUM(F23,F17,F6,F32)-324.97</f>
        <v>555936.63</v>
      </c>
      <c r="G37" s="330">
        <f>SUM(G6,G16,G23,G32)</f>
        <v>105000</v>
      </c>
      <c r="H37" s="426"/>
      <c r="I37" s="426"/>
      <c r="J37" s="331"/>
    </row>
    <row r="38" spans="1:16" hidden="1" x14ac:dyDescent="0.2">
      <c r="A38" s="429"/>
      <c r="B38" s="424"/>
      <c r="C38" s="426">
        <f>SUM(C32:C36)</f>
        <v>149243.78</v>
      </c>
      <c r="D38" s="426"/>
      <c r="E38" s="426"/>
      <c r="F38" s="426"/>
      <c r="G38" s="334"/>
      <c r="H38" s="426"/>
      <c r="K38" s="425" t="s">
        <v>12</v>
      </c>
      <c r="L38" s="425">
        <v>42.43</v>
      </c>
    </row>
    <row r="39" spans="1:16" ht="12" hidden="1" thickBot="1" x14ac:dyDescent="0.25">
      <c r="A39" s="335" t="s">
        <v>25</v>
      </c>
      <c r="B39" s="336"/>
      <c r="C39" s="337" t="e">
        <f>SUM(C37,#REF!)</f>
        <v>#REF!</v>
      </c>
      <c r="D39" s="338" t="e">
        <f>SUM(D37,#REF!)</f>
        <v>#REF!</v>
      </c>
      <c r="E39" s="338" t="e">
        <f>SUM(E37,#REF!)</f>
        <v>#REF!</v>
      </c>
      <c r="F39" s="339" t="e">
        <f>SUM(F37,#REF!)</f>
        <v>#REF!</v>
      </c>
      <c r="G39" s="334"/>
      <c r="H39" s="426"/>
      <c r="I39" s="331"/>
      <c r="J39" s="79">
        <v>206730.35</v>
      </c>
    </row>
    <row r="40" spans="1:16" ht="12" thickBot="1" x14ac:dyDescent="0.25">
      <c r="B40" s="340"/>
      <c r="C40" s="426"/>
      <c r="D40" s="426"/>
      <c r="E40" s="426"/>
      <c r="F40" s="426"/>
      <c r="G40" s="334"/>
      <c r="H40" s="341"/>
      <c r="I40" s="331"/>
      <c r="J40" s="79"/>
      <c r="P40" s="426"/>
    </row>
    <row r="41" spans="1:16" ht="12" thickBot="1" x14ac:dyDescent="0.25">
      <c r="A41" s="796" t="s">
        <v>13</v>
      </c>
      <c r="B41" s="797"/>
      <c r="C41" s="342" t="s">
        <v>2</v>
      </c>
      <c r="D41" s="342" t="s">
        <v>3</v>
      </c>
      <c r="E41" s="342" t="s">
        <v>27</v>
      </c>
      <c r="F41" s="342" t="s">
        <v>5</v>
      </c>
      <c r="G41" s="269"/>
      <c r="H41" s="331"/>
      <c r="I41" s="343"/>
    </row>
    <row r="42" spans="1:16" ht="12" thickBot="1" x14ac:dyDescent="0.25">
      <c r="A42" s="784" t="s">
        <v>14</v>
      </c>
      <c r="B42" s="785"/>
      <c r="C42" s="344">
        <f>'December 2021'!F42</f>
        <v>154.31</v>
      </c>
      <c r="D42" s="345"/>
      <c r="E42" s="345">
        <v>10.56</v>
      </c>
      <c r="F42" s="346">
        <f>C42+D42-E42</f>
        <v>143.75</v>
      </c>
      <c r="G42" s="426"/>
      <c r="I42" s="331"/>
      <c r="J42" s="79"/>
    </row>
    <row r="43" spans="1:16" ht="12" thickBot="1" x14ac:dyDescent="0.25">
      <c r="A43" s="798" t="s">
        <v>15</v>
      </c>
      <c r="B43" s="799"/>
      <c r="C43" s="344">
        <f>'December 2021'!F43+0.01</f>
        <v>3250.6300000000138</v>
      </c>
      <c r="D43" s="347">
        <v>35000</v>
      </c>
      <c r="E43" s="347">
        <v>25265.09</v>
      </c>
      <c r="F43" s="346">
        <f t="shared" ref="F43:F46" si="4">C43+D43-E43</f>
        <v>12985.540000000012</v>
      </c>
      <c r="G43" s="426"/>
      <c r="H43" s="349"/>
      <c r="I43" s="331"/>
    </row>
    <row r="44" spans="1:16" ht="12" thickBot="1" x14ac:dyDescent="0.25">
      <c r="A44" s="350"/>
      <c r="B44" s="351" t="s">
        <v>21</v>
      </c>
      <c r="C44" s="344">
        <f>'December 2021'!F44</f>
        <v>0</v>
      </c>
      <c r="D44" s="352"/>
      <c r="E44" s="352"/>
      <c r="F44" s="346">
        <f t="shared" si="4"/>
        <v>0</v>
      </c>
      <c r="G44" s="426"/>
      <c r="H44" s="349"/>
      <c r="I44" s="79"/>
    </row>
    <row r="45" spans="1:16" ht="12" thickBot="1" x14ac:dyDescent="0.25">
      <c r="A45" s="350"/>
      <c r="B45" s="351" t="s">
        <v>40</v>
      </c>
      <c r="C45" s="344">
        <f>'December 2021'!F45</f>
        <v>-2058.17</v>
      </c>
      <c r="D45" s="353">
        <f>1556.7</f>
        <v>1556.7</v>
      </c>
      <c r="E45" s="353">
        <f>8489.13-227.37-274.11</f>
        <v>7987.6499999999987</v>
      </c>
      <c r="F45" s="346">
        <f>C45+D45-E45-0.01</f>
        <v>-8489.1299999999992</v>
      </c>
      <c r="G45" s="426"/>
      <c r="H45" s="79"/>
      <c r="I45" s="79"/>
    </row>
    <row r="46" spans="1:16" ht="12" thickBot="1" x14ac:dyDescent="0.25">
      <c r="A46" s="784" t="s">
        <v>16</v>
      </c>
      <c r="B46" s="785"/>
      <c r="C46" s="344">
        <f>'December 2021'!F46</f>
        <v>307735.33000000007</v>
      </c>
      <c r="D46" s="355">
        <v>42090.84</v>
      </c>
      <c r="E46" s="355">
        <v>35000</v>
      </c>
      <c r="F46" s="346">
        <f t="shared" si="4"/>
        <v>314826.17000000004</v>
      </c>
      <c r="G46" s="426"/>
      <c r="H46" s="79"/>
      <c r="I46" s="79"/>
    </row>
    <row r="47" spans="1:16" ht="12" thickBot="1" x14ac:dyDescent="0.25">
      <c r="A47" s="357" t="s">
        <v>46</v>
      </c>
      <c r="B47" s="358"/>
      <c r="C47" s="344">
        <f>'December 2021'!F47</f>
        <v>238792.81999999998</v>
      </c>
      <c r="D47" s="322">
        <v>49.35</v>
      </c>
      <c r="E47" s="322">
        <v>1000</v>
      </c>
      <c r="F47" s="346">
        <f>C47+D47-E47</f>
        <v>237842.16999999998</v>
      </c>
      <c r="G47" s="426"/>
      <c r="H47" s="79"/>
      <c r="I47" s="79"/>
    </row>
    <row r="48" spans="1:16" ht="12" thickBot="1" x14ac:dyDescent="0.25">
      <c r="A48" s="800"/>
      <c r="B48" s="795"/>
      <c r="C48" s="360">
        <f>SUM(C42:C47)</f>
        <v>547874.92000000004</v>
      </c>
      <c r="D48" s="361">
        <f>SUM(D42:D47)</f>
        <v>78696.89</v>
      </c>
      <c r="E48" s="361">
        <f>SUM(E42:E47)</f>
        <v>69263.3</v>
      </c>
      <c r="F48" s="346">
        <f>C48+D48-E48-184.88</f>
        <v>557123.63</v>
      </c>
      <c r="G48" s="426"/>
      <c r="H48" s="331"/>
      <c r="I48" s="79"/>
      <c r="J48" s="266"/>
    </row>
    <row r="49" spans="1:16" x14ac:dyDescent="0.2">
      <c r="A49" s="429"/>
      <c r="B49" s="424"/>
      <c r="C49" s="426">
        <f>C37-C48</f>
        <v>-369.25000000011642</v>
      </c>
      <c r="D49" s="426"/>
      <c r="E49" s="426"/>
      <c r="F49" s="426">
        <f>F37-F48</f>
        <v>-1187</v>
      </c>
      <c r="H49" s="426"/>
      <c r="I49" s="331"/>
      <c r="J49" s="331"/>
      <c r="K49" s="266"/>
    </row>
    <row r="50" spans="1:16" x14ac:dyDescent="0.2">
      <c r="B50" s="340"/>
      <c r="C50" s="426"/>
      <c r="D50" s="426"/>
      <c r="E50" s="426"/>
      <c r="F50" s="426"/>
      <c r="G50" s="426"/>
      <c r="H50" s="426"/>
      <c r="I50" s="331"/>
    </row>
    <row r="51" spans="1:16" x14ac:dyDescent="0.2">
      <c r="A51" s="801" t="s">
        <v>17</v>
      </c>
      <c r="B51" s="801"/>
      <c r="C51" s="801"/>
      <c r="D51" s="801"/>
      <c r="E51" s="802" t="s">
        <v>18</v>
      </c>
      <c r="F51" s="802"/>
      <c r="G51" s="426"/>
      <c r="H51" s="426"/>
      <c r="J51" s="331"/>
    </row>
    <row r="52" spans="1:16" x14ac:dyDescent="0.2">
      <c r="C52" s="426"/>
      <c r="D52" s="426"/>
      <c r="E52" s="426"/>
      <c r="F52" s="426"/>
      <c r="G52" s="426"/>
      <c r="H52" s="426"/>
    </row>
    <row r="53" spans="1:16" x14ac:dyDescent="0.2">
      <c r="A53" s="801" t="s">
        <v>19</v>
      </c>
      <c r="B53" s="801"/>
      <c r="C53" s="801"/>
      <c r="D53" s="801"/>
      <c r="E53" s="802" t="s">
        <v>18</v>
      </c>
      <c r="F53" s="802"/>
      <c r="G53" s="426"/>
      <c r="H53" s="426"/>
    </row>
    <row r="54" spans="1:16" x14ac:dyDescent="0.2">
      <c r="A54" s="429"/>
      <c r="B54" s="424"/>
      <c r="C54" s="266"/>
      <c r="D54" s="266"/>
      <c r="E54" s="266"/>
      <c r="F54" s="79"/>
      <c r="G54" s="266"/>
      <c r="H54" s="266"/>
      <c r="I54" s="331"/>
      <c r="J54" s="79"/>
      <c r="P54" s="364"/>
    </row>
    <row r="55" spans="1:16" x14ac:dyDescent="0.2">
      <c r="B55" s="340"/>
      <c r="C55" s="331"/>
      <c r="D55" s="331"/>
      <c r="E55" s="331"/>
      <c r="F55" s="331"/>
      <c r="I55" s="331"/>
      <c r="J55" s="343"/>
      <c r="L55" s="266"/>
      <c r="P55" s="364"/>
    </row>
    <row r="56" spans="1:16" x14ac:dyDescent="0.2">
      <c r="B56" s="340"/>
      <c r="C56" s="79"/>
      <c r="D56" s="331"/>
      <c r="F56" s="331"/>
      <c r="J56" s="331"/>
    </row>
  </sheetData>
  <mergeCells count="17">
    <mergeCell ref="A48:B48"/>
    <mergeCell ref="A51:D51"/>
    <mergeCell ref="E51:F51"/>
    <mergeCell ref="A53:D53"/>
    <mergeCell ref="E53:F53"/>
    <mergeCell ref="A46:B46"/>
    <mergeCell ref="A2:G2"/>
    <mergeCell ref="A3:G3"/>
    <mergeCell ref="A5:B5"/>
    <mergeCell ref="A6:B6"/>
    <mergeCell ref="A17:B17"/>
    <mergeCell ref="A23:B23"/>
    <mergeCell ref="A32:B32"/>
    <mergeCell ref="A37:B37"/>
    <mergeCell ref="A41:B41"/>
    <mergeCell ref="A42:B42"/>
    <mergeCell ref="A43:B43"/>
  </mergeCells>
  <pageMargins left="0.7" right="0.7" top="0.75" bottom="0.75" header="0.3" footer="0.3"/>
  <pageSetup orientation="portrait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D2ACB-5150-44E1-8AB5-DFF7627C5385}">
  <sheetPr>
    <pageSetUpPr fitToPage="1"/>
  </sheetPr>
  <dimension ref="A1:R56"/>
  <sheetViews>
    <sheetView topLeftCell="A12" zoomScale="130" zoomScaleNormal="130" workbookViewId="0">
      <selection activeCell="E29" sqref="E29"/>
    </sheetView>
  </sheetViews>
  <sheetFormatPr defaultColWidth="9.140625" defaultRowHeight="11.25" x14ac:dyDescent="0.2"/>
  <cols>
    <col min="1" max="1" width="10.7109375" style="433" customWidth="1"/>
    <col min="2" max="2" width="28.140625" style="433" customWidth="1"/>
    <col min="3" max="3" width="10.5703125" style="433" customWidth="1"/>
    <col min="4" max="4" width="9.42578125" style="433" customWidth="1"/>
    <col min="5" max="5" width="9.140625" style="433"/>
    <col min="6" max="6" width="10.28515625" style="433" customWidth="1"/>
    <col min="7" max="7" width="8.85546875" style="433" customWidth="1"/>
    <col min="8" max="8" width="12.140625" style="433" customWidth="1"/>
    <col min="9" max="9" width="14.7109375" style="433" customWidth="1"/>
    <col min="10" max="10" width="14.5703125" style="433" customWidth="1"/>
    <col min="11" max="11" width="11.28515625" style="433" customWidth="1"/>
    <col min="12" max="15" width="9.140625" style="433"/>
    <col min="16" max="16" width="13" style="433" customWidth="1"/>
    <col min="17" max="16384" width="9.140625" style="433"/>
  </cols>
  <sheetData>
    <row r="1" spans="1:18" hidden="1" x14ac:dyDescent="0.2"/>
    <row r="2" spans="1:18" x14ac:dyDescent="0.2">
      <c r="A2" s="786" t="s">
        <v>0</v>
      </c>
      <c r="B2" s="786"/>
      <c r="C2" s="786"/>
      <c r="D2" s="786"/>
      <c r="E2" s="786"/>
      <c r="F2" s="786"/>
      <c r="G2" s="786"/>
      <c r="H2" s="435"/>
    </row>
    <row r="3" spans="1:18" x14ac:dyDescent="0.2">
      <c r="A3" s="787" t="s">
        <v>106</v>
      </c>
      <c r="B3" s="787"/>
      <c r="C3" s="787"/>
      <c r="D3" s="787"/>
      <c r="E3" s="787"/>
      <c r="F3" s="787"/>
      <c r="G3" s="787"/>
      <c r="H3" s="436"/>
    </row>
    <row r="4" spans="1:18" ht="12" thickBot="1" x14ac:dyDescent="0.25">
      <c r="B4" s="265" t="s">
        <v>37</v>
      </c>
      <c r="F4" s="266"/>
      <c r="I4" s="267"/>
    </row>
    <row r="5" spans="1:18" x14ac:dyDescent="0.2">
      <c r="A5" s="788" t="s">
        <v>1</v>
      </c>
      <c r="B5" s="789"/>
      <c r="C5" s="268" t="s">
        <v>2</v>
      </c>
      <c r="D5" s="268" t="s">
        <v>3</v>
      </c>
      <c r="E5" s="268" t="s">
        <v>58</v>
      </c>
      <c r="F5" s="268" t="s">
        <v>5</v>
      </c>
      <c r="G5" s="268" t="s">
        <v>6</v>
      </c>
      <c r="H5" s="269"/>
      <c r="I5" s="269"/>
    </row>
    <row r="6" spans="1:18" ht="15" x14ac:dyDescent="0.25">
      <c r="A6" s="803" t="s">
        <v>7</v>
      </c>
      <c r="B6" s="804"/>
      <c r="C6" s="270">
        <f>SUM(C7:C16)</f>
        <v>192679.03999999992</v>
      </c>
      <c r="D6" s="271">
        <f>SUM(D7:D16)</f>
        <v>13090.49</v>
      </c>
      <c r="E6" s="271">
        <f>SUM(E7:E16)</f>
        <v>7478.91</v>
      </c>
      <c r="F6" s="271">
        <f>SUM(F7:F16)</f>
        <v>198290.61999999994</v>
      </c>
      <c r="G6" s="272">
        <f>SUM(G7:G15)</f>
        <v>0</v>
      </c>
      <c r="H6" s="273"/>
      <c r="I6" s="273"/>
      <c r="J6" s="273"/>
      <c r="K6" s="434"/>
      <c r="P6" s="434"/>
      <c r="R6" s="434"/>
    </row>
    <row r="7" spans="1:18" ht="12" customHeight="1" x14ac:dyDescent="0.2">
      <c r="A7" s="275"/>
      <c r="B7" s="276" t="s">
        <v>23</v>
      </c>
      <c r="C7" s="277">
        <f>'January 2022'!F7</f>
        <v>196303.15999999995</v>
      </c>
      <c r="D7" s="278">
        <f>102.91+4773.13+503.65</f>
        <v>5379.69</v>
      </c>
      <c r="E7" s="430">
        <f>1000+1148.99+8852.98+211.86-6053.48</f>
        <v>5160.3500000000004</v>
      </c>
      <c r="F7" s="279">
        <f>C7+D7-E7</f>
        <v>196522.49999999994</v>
      </c>
      <c r="G7" s="280"/>
      <c r="H7" s="281"/>
      <c r="I7" s="434"/>
    </row>
    <row r="8" spans="1:18" x14ac:dyDescent="0.2">
      <c r="A8" s="282"/>
      <c r="B8" s="283" t="s">
        <v>62</v>
      </c>
      <c r="C8" s="277">
        <f>'January 2022'!F8</f>
        <v>-2811.98</v>
      </c>
      <c r="D8" s="284"/>
      <c r="E8" s="284">
        <v>2133.9499999999998</v>
      </c>
      <c r="F8" s="286">
        <f t="shared" ref="F8:F15" si="0">C8+D8-E8</f>
        <v>-4945.93</v>
      </c>
      <c r="G8" s="280"/>
      <c r="H8" s="273"/>
      <c r="I8" s="287"/>
    </row>
    <row r="9" spans="1:18" hidden="1" x14ac:dyDescent="0.2">
      <c r="A9" s="282"/>
      <c r="B9" s="288" t="s">
        <v>67</v>
      </c>
      <c r="C9" s="277">
        <f>'January 2022'!F9</f>
        <v>0</v>
      </c>
      <c r="D9" s="284"/>
      <c r="E9" s="284"/>
      <c r="F9" s="279">
        <f t="shared" si="0"/>
        <v>0</v>
      </c>
      <c r="G9" s="280"/>
      <c r="H9" s="273"/>
      <c r="I9" s="289"/>
      <c r="J9" s="434"/>
    </row>
    <row r="10" spans="1:18" hidden="1" x14ac:dyDescent="0.2">
      <c r="A10" s="282"/>
      <c r="B10" s="288" t="s">
        <v>41</v>
      </c>
      <c r="C10" s="277">
        <f>'January 2022'!F10</f>
        <v>-1.0000000002037268E-2</v>
      </c>
      <c r="D10" s="290"/>
      <c r="E10" s="290"/>
      <c r="F10" s="286">
        <f t="shared" si="0"/>
        <v>-1.0000000002037268E-2</v>
      </c>
      <c r="G10" s="280"/>
      <c r="H10" s="273"/>
      <c r="I10" s="291"/>
      <c r="J10" s="434"/>
    </row>
    <row r="11" spans="1:18" hidden="1" x14ac:dyDescent="0.2">
      <c r="A11" s="282"/>
      <c r="B11" s="288" t="s">
        <v>29</v>
      </c>
      <c r="C11" s="277">
        <f>'January 2022'!F11</f>
        <v>0</v>
      </c>
      <c r="D11" s="292"/>
      <c r="E11" s="292"/>
      <c r="F11" s="279">
        <f t="shared" si="0"/>
        <v>0</v>
      </c>
      <c r="G11" s="280"/>
      <c r="H11" s="273"/>
      <c r="I11" s="293"/>
    </row>
    <row r="12" spans="1:18" x14ac:dyDescent="0.2">
      <c r="A12" s="282"/>
      <c r="B12" s="288" t="s">
        <v>20</v>
      </c>
      <c r="C12" s="277">
        <f>'January 2022'!F12</f>
        <v>-648.35999999999979</v>
      </c>
      <c r="D12" s="294">
        <f>7202.3+33.68</f>
        <v>7235.9800000000005</v>
      </c>
      <c r="E12" s="294">
        <f>127.61</f>
        <v>127.61</v>
      </c>
      <c r="F12" s="295">
        <f>C12+D12-E12</f>
        <v>6460.0100000000011</v>
      </c>
      <c r="G12" s="280"/>
      <c r="H12" s="273" t="s">
        <v>107</v>
      </c>
      <c r="I12" s="434"/>
    </row>
    <row r="13" spans="1:18" x14ac:dyDescent="0.2">
      <c r="A13" s="282"/>
      <c r="B13" s="288" t="s">
        <v>22</v>
      </c>
      <c r="C13" s="277">
        <f>'January 2022'!F13</f>
        <v>68.649999999999949</v>
      </c>
      <c r="D13" s="294">
        <v>474.82</v>
      </c>
      <c r="E13" s="294">
        <v>57</v>
      </c>
      <c r="F13" s="295">
        <f>C13+D13-E13</f>
        <v>486.46999999999991</v>
      </c>
      <c r="G13" s="280"/>
      <c r="H13" s="273"/>
      <c r="I13" s="434"/>
    </row>
    <row r="14" spans="1:18" x14ac:dyDescent="0.2">
      <c r="A14" s="282"/>
      <c r="B14" s="288" t="s">
        <v>28</v>
      </c>
      <c r="C14" s="277">
        <f>'January 2022'!F14</f>
        <v>-153.75000000000114</v>
      </c>
      <c r="D14" s="294"/>
      <c r="E14" s="294"/>
      <c r="F14" s="286">
        <f t="shared" si="0"/>
        <v>-153.75000000000114</v>
      </c>
      <c r="G14" s="280"/>
      <c r="H14" s="273"/>
      <c r="I14" s="434"/>
    </row>
    <row r="15" spans="1:18" x14ac:dyDescent="0.2">
      <c r="A15" s="282"/>
      <c r="B15" s="296" t="s">
        <v>42</v>
      </c>
      <c r="C15" s="277">
        <f>'January 2022'!F15</f>
        <v>518.22</v>
      </c>
      <c r="D15" s="284"/>
      <c r="E15" s="284"/>
      <c r="F15" s="297">
        <f t="shared" si="0"/>
        <v>518.22</v>
      </c>
      <c r="G15" s="280"/>
      <c r="H15" s="273"/>
      <c r="I15" s="434"/>
    </row>
    <row r="16" spans="1:18" x14ac:dyDescent="0.2">
      <c r="A16" s="282"/>
      <c r="B16" s="296" t="s">
        <v>43</v>
      </c>
      <c r="C16" s="277">
        <f>'January 2022'!F16</f>
        <v>-596.89000000000033</v>
      </c>
      <c r="D16" s="284"/>
      <c r="E16" s="284"/>
      <c r="F16" s="295">
        <f>C16+D16-E16</f>
        <v>-596.89000000000033</v>
      </c>
      <c r="G16" s="280"/>
      <c r="H16" s="273"/>
      <c r="I16" s="273"/>
      <c r="P16" s="434"/>
    </row>
    <row r="17" spans="1:16" ht="15" x14ac:dyDescent="0.25">
      <c r="A17" s="805" t="s">
        <v>53</v>
      </c>
      <c r="B17" s="806"/>
      <c r="C17" s="298">
        <f>SUM(C18:C22)</f>
        <v>-12199.740000000002</v>
      </c>
      <c r="D17" s="299">
        <f>SUM(D18:D22)</f>
        <v>8852.98</v>
      </c>
      <c r="E17" s="299">
        <f>SUM(E18:E22)</f>
        <v>11510.97</v>
      </c>
      <c r="F17" s="286">
        <f>SUM(F18:F22)</f>
        <v>-14857.730000000005</v>
      </c>
      <c r="G17" s="300"/>
      <c r="H17" s="273"/>
      <c r="I17" s="273"/>
      <c r="P17" s="434"/>
    </row>
    <row r="18" spans="1:16" x14ac:dyDescent="0.2">
      <c r="A18" s="301"/>
      <c r="B18" s="302" t="s">
        <v>9</v>
      </c>
      <c r="C18" s="303">
        <f>'January 2022'!F18</f>
        <v>-13166.61</v>
      </c>
      <c r="D18" s="304">
        <v>8852.98</v>
      </c>
      <c r="E18" s="305">
        <v>4908.09</v>
      </c>
      <c r="F18" s="306">
        <f>C18+D18-E18</f>
        <v>-9221.7200000000012</v>
      </c>
      <c r="G18" s="284">
        <v>30352</v>
      </c>
      <c r="H18" s="273" t="s">
        <v>107</v>
      </c>
      <c r="I18" s="434"/>
      <c r="J18" s="79"/>
    </row>
    <row r="19" spans="1:16" x14ac:dyDescent="0.2">
      <c r="A19" s="282"/>
      <c r="B19" s="307" t="s">
        <v>8</v>
      </c>
      <c r="C19" s="303">
        <f>'January 2022'!F19</f>
        <v>-2803.1300000000019</v>
      </c>
      <c r="D19" s="294"/>
      <c r="E19" s="290">
        <v>213.4</v>
      </c>
      <c r="F19" s="306">
        <f>C19+D19-E19</f>
        <v>-3016.530000000002</v>
      </c>
      <c r="G19" s="308"/>
      <c r="H19" s="273"/>
      <c r="I19" s="434"/>
    </row>
    <row r="20" spans="1:16" x14ac:dyDescent="0.2">
      <c r="A20" s="282"/>
      <c r="B20" s="307" t="s">
        <v>32</v>
      </c>
      <c r="C20" s="303">
        <f>'January 2022'!F20</f>
        <v>4620.7</v>
      </c>
      <c r="D20" s="294"/>
      <c r="E20" s="290">
        <f>243.88+4773.13</f>
        <v>5017.01</v>
      </c>
      <c r="F20" s="306">
        <f t="shared" ref="F20:F22" si="1">C20+D20-E20</f>
        <v>-396.3100000000004</v>
      </c>
      <c r="G20" s="309">
        <v>5000</v>
      </c>
      <c r="H20" s="273" t="s">
        <v>107</v>
      </c>
      <c r="I20" s="434"/>
    </row>
    <row r="21" spans="1:16" hidden="1" x14ac:dyDescent="0.2">
      <c r="A21" s="282"/>
      <c r="B21" s="307" t="s">
        <v>67</v>
      </c>
      <c r="C21" s="303">
        <f>'January 2022'!F21</f>
        <v>-9.0951551845463996E-15</v>
      </c>
      <c r="D21" s="294"/>
      <c r="E21" s="294"/>
      <c r="F21" s="306">
        <f t="shared" si="1"/>
        <v>-9.0951551845463996E-15</v>
      </c>
      <c r="G21" s="309"/>
      <c r="H21" s="273"/>
      <c r="I21" s="434"/>
    </row>
    <row r="22" spans="1:16" x14ac:dyDescent="0.2">
      <c r="A22" s="310"/>
      <c r="B22" s="311" t="s">
        <v>38</v>
      </c>
      <c r="C22" s="303">
        <f>'January 2022'!F22</f>
        <v>-850.7</v>
      </c>
      <c r="D22" s="312"/>
      <c r="E22" s="305">
        <f>868.82+503.65</f>
        <v>1372.47</v>
      </c>
      <c r="F22" s="306">
        <f t="shared" si="1"/>
        <v>-2223.17</v>
      </c>
      <c r="G22" s="284">
        <v>8500</v>
      </c>
      <c r="H22" s="273" t="s">
        <v>107</v>
      </c>
      <c r="I22" s="434"/>
      <c r="J22" s="79"/>
    </row>
    <row r="23" spans="1:16" x14ac:dyDescent="0.2">
      <c r="A23" s="807" t="s">
        <v>10</v>
      </c>
      <c r="B23" s="808"/>
      <c r="C23" s="298">
        <f>SUM(C24:C31)</f>
        <v>293767.56000000006</v>
      </c>
      <c r="D23" s="313">
        <f>SUM(D24:D31)</f>
        <v>0</v>
      </c>
      <c r="E23" s="314">
        <f>SUM(E24:E31)</f>
        <v>7575.3099999999995</v>
      </c>
      <c r="F23" s="314">
        <f>SUM(F24:F31)</f>
        <v>286192.25000000006</v>
      </c>
      <c r="G23" s="315">
        <f>SUM(G31:G35)</f>
        <v>70000</v>
      </c>
      <c r="H23" s="273"/>
      <c r="I23" s="273"/>
      <c r="P23" s="434"/>
    </row>
    <row r="24" spans="1:16" hidden="1" x14ac:dyDescent="0.2">
      <c r="A24" s="301"/>
      <c r="B24" s="316" t="s">
        <v>55</v>
      </c>
      <c r="C24" s="303">
        <f>'February 2021'!G24</f>
        <v>0</v>
      </c>
      <c r="D24" s="317"/>
      <c r="E24" s="304"/>
      <c r="F24" s="318">
        <f>C24+D24-E24</f>
        <v>0</v>
      </c>
      <c r="G24" s="278"/>
      <c r="H24" s="273"/>
      <c r="I24" s="434"/>
      <c r="J24" s="319"/>
    </row>
    <row r="25" spans="1:16" hidden="1" x14ac:dyDescent="0.2">
      <c r="A25" s="310"/>
      <c r="B25" s="296" t="s">
        <v>70</v>
      </c>
      <c r="C25" s="303">
        <f>'January 2022'!F25</f>
        <v>7.9999999998108251E-2</v>
      </c>
      <c r="D25" s="312"/>
      <c r="E25" s="312">
        <v>0.08</v>
      </c>
      <c r="F25" s="318">
        <f>C25+D25-E25</f>
        <v>-1.8917506450222277E-12</v>
      </c>
      <c r="G25" s="284"/>
      <c r="H25" s="273"/>
      <c r="I25" s="434"/>
      <c r="J25" s="319"/>
    </row>
    <row r="26" spans="1:16" x14ac:dyDescent="0.2">
      <c r="A26" s="275"/>
      <c r="B26" s="320" t="s">
        <v>105</v>
      </c>
      <c r="C26" s="303">
        <f>'January 2022'!F26</f>
        <v>18710.000000000007</v>
      </c>
      <c r="D26" s="305"/>
      <c r="E26" s="321"/>
      <c r="F26" s="318">
        <f t="shared" ref="F26:F31" si="2">C26+D26-E26</f>
        <v>18710.000000000007</v>
      </c>
      <c r="G26" s="284"/>
      <c r="H26" s="273"/>
      <c r="I26" s="434"/>
      <c r="J26" s="434"/>
    </row>
    <row r="27" spans="1:16" hidden="1" x14ac:dyDescent="0.2">
      <c r="A27" s="275"/>
      <c r="B27" s="320" t="s">
        <v>39</v>
      </c>
      <c r="C27" s="303">
        <f>'January 2022'!F27</f>
        <v>8.1854523159563541E-12</v>
      </c>
      <c r="D27" s="312"/>
      <c r="E27" s="305"/>
      <c r="F27" s="318">
        <f t="shared" si="2"/>
        <v>8.1854523159563541E-12</v>
      </c>
      <c r="G27" s="284"/>
      <c r="H27" s="273"/>
      <c r="I27" s="434"/>
      <c r="J27" s="434"/>
    </row>
    <row r="28" spans="1:16" x14ac:dyDescent="0.2">
      <c r="A28" s="275"/>
      <c r="B28" s="320" t="s">
        <v>65</v>
      </c>
      <c r="C28" s="303">
        <f>'January 2022'!F28</f>
        <v>16111.400000000009</v>
      </c>
      <c r="D28" s="312"/>
      <c r="E28" s="312">
        <v>7575.23</v>
      </c>
      <c r="F28" s="318">
        <f t="shared" si="2"/>
        <v>8536.1700000000092</v>
      </c>
      <c r="G28" s="284"/>
      <c r="H28" s="273"/>
      <c r="I28" s="434"/>
      <c r="J28" s="434"/>
    </row>
    <row r="29" spans="1:16" x14ac:dyDescent="0.2">
      <c r="A29" s="275"/>
      <c r="B29" s="320" t="s">
        <v>86</v>
      </c>
      <c r="C29" s="303">
        <f>'January 2022'!F29</f>
        <v>134492</v>
      </c>
      <c r="D29" s="312"/>
      <c r="E29" s="312"/>
      <c r="F29" s="318">
        <f t="shared" si="2"/>
        <v>134492</v>
      </c>
      <c r="G29" s="284"/>
      <c r="H29" s="273"/>
      <c r="I29" s="434"/>
      <c r="J29" s="434"/>
    </row>
    <row r="30" spans="1:16" x14ac:dyDescent="0.2">
      <c r="A30" s="275"/>
      <c r="B30" s="320" t="s">
        <v>101</v>
      </c>
      <c r="C30" s="303">
        <f>'January 2022'!F30</f>
        <v>124406</v>
      </c>
      <c r="D30" s="312"/>
      <c r="E30" s="312"/>
      <c r="F30" s="318">
        <f t="shared" si="2"/>
        <v>124406</v>
      </c>
      <c r="G30" s="284"/>
      <c r="H30" s="273"/>
      <c r="I30" s="434"/>
      <c r="J30" s="434"/>
    </row>
    <row r="31" spans="1:16" x14ac:dyDescent="0.2">
      <c r="A31" s="310"/>
      <c r="B31" s="296" t="s">
        <v>44</v>
      </c>
      <c r="C31" s="303">
        <f>'January 2022'!F31</f>
        <v>48.079999999999984</v>
      </c>
      <c r="D31" s="312"/>
      <c r="E31" s="305"/>
      <c r="F31" s="318">
        <f t="shared" si="2"/>
        <v>48.079999999999984</v>
      </c>
      <c r="G31" s="284"/>
      <c r="H31" s="273"/>
      <c r="I31" s="434"/>
      <c r="J31" s="319"/>
    </row>
    <row r="32" spans="1:16" x14ac:dyDescent="0.2">
      <c r="A32" s="809" t="s">
        <v>35</v>
      </c>
      <c r="B32" s="810"/>
      <c r="C32" s="298">
        <f>SUM(C33:C36)</f>
        <v>82014.740000000005</v>
      </c>
      <c r="D32" s="313">
        <f>SUM(D33:D36)</f>
        <v>1000</v>
      </c>
      <c r="E32" s="314">
        <f>SUM(E33:E35)</f>
        <v>304.85000000000002</v>
      </c>
      <c r="F32" s="314">
        <f>SUM(F33:F36)</f>
        <v>82709.890000000014</v>
      </c>
      <c r="G32" s="315">
        <f>SUM(G33:G35)</f>
        <v>35000</v>
      </c>
      <c r="H32" s="273"/>
      <c r="I32" s="273"/>
      <c r="P32" s="434"/>
    </row>
    <row r="33" spans="1:16" x14ac:dyDescent="0.2">
      <c r="A33" s="310"/>
      <c r="B33" s="296" t="s">
        <v>104</v>
      </c>
      <c r="C33" s="303">
        <f>'January 2022'!F33</f>
        <v>25835.31</v>
      </c>
      <c r="D33" s="322">
        <v>1000</v>
      </c>
      <c r="E33" s="323">
        <v>182.91</v>
      </c>
      <c r="F33" s="324">
        <f>C33+D33-E33</f>
        <v>26652.400000000001</v>
      </c>
      <c r="G33" s="284"/>
      <c r="H33" s="273"/>
      <c r="I33" s="434"/>
      <c r="J33" s="319"/>
    </row>
    <row r="34" spans="1:16" x14ac:dyDescent="0.2">
      <c r="A34" s="310"/>
      <c r="B34" s="296" t="s">
        <v>90</v>
      </c>
      <c r="C34" s="303">
        <f>'January 2022'!F34</f>
        <v>25154.160000000007</v>
      </c>
      <c r="D34" s="322"/>
      <c r="E34" s="323">
        <v>121.94</v>
      </c>
      <c r="F34" s="324">
        <f t="shared" ref="F34" si="3">C34+D34-E34</f>
        <v>25032.220000000008</v>
      </c>
      <c r="G34" s="284">
        <v>35000</v>
      </c>
      <c r="H34" s="273"/>
      <c r="I34" s="434"/>
      <c r="J34" s="319"/>
    </row>
    <row r="35" spans="1:16" x14ac:dyDescent="0.2">
      <c r="A35" s="310"/>
      <c r="B35" s="325" t="s">
        <v>103</v>
      </c>
      <c r="C35" s="303">
        <f>'January 2022'!F35</f>
        <v>20475.269999999997</v>
      </c>
      <c r="D35" s="322"/>
      <c r="E35" s="305"/>
      <c r="F35" s="324">
        <f>C35+D35-E35</f>
        <v>20475.269999999997</v>
      </c>
      <c r="G35" s="284"/>
      <c r="H35" s="273"/>
      <c r="I35" s="293"/>
      <c r="J35" s="266"/>
      <c r="P35" s="326"/>
    </row>
    <row r="36" spans="1:16" ht="12" thickBot="1" x14ac:dyDescent="0.25">
      <c r="B36" s="433" t="s">
        <v>99</v>
      </c>
      <c r="C36" s="303">
        <f>'January 2022'!F36</f>
        <v>10550</v>
      </c>
      <c r="D36" s="431"/>
      <c r="F36" s="324">
        <f>C36+D36-E36</f>
        <v>10550</v>
      </c>
    </row>
    <row r="37" spans="1:16" ht="12" thickBot="1" x14ac:dyDescent="0.25">
      <c r="A37" s="794" t="s">
        <v>11</v>
      </c>
      <c r="B37" s="795"/>
      <c r="C37" s="327">
        <f>C32+C23+C17+C6</f>
        <v>556261.6</v>
      </c>
      <c r="D37" s="328">
        <f>SUM(D23,D17,D6,D32)</f>
        <v>22943.47</v>
      </c>
      <c r="E37" s="328">
        <f>SUM(E23,E17,E6,E32)</f>
        <v>26870.039999999997</v>
      </c>
      <c r="F37" s="329">
        <f>SUM(F23,F17,F6,F32)-324.97</f>
        <v>552010.06000000006</v>
      </c>
      <c r="G37" s="330">
        <f>SUM(G6,G16,G23,G32)</f>
        <v>105000</v>
      </c>
      <c r="H37" s="434"/>
      <c r="I37" s="434"/>
      <c r="J37" s="331"/>
    </row>
    <row r="38" spans="1:16" hidden="1" x14ac:dyDescent="0.2">
      <c r="A38" s="437"/>
      <c r="B38" s="432"/>
      <c r="C38" s="434">
        <f>SUM(C17:C22)</f>
        <v>-24399.480000000003</v>
      </c>
      <c r="D38" s="434"/>
      <c r="E38" s="434"/>
      <c r="F38" s="434"/>
      <c r="G38" s="334"/>
      <c r="H38" s="434"/>
      <c r="K38" s="433" t="s">
        <v>12</v>
      </c>
      <c r="L38" s="433">
        <v>42.43</v>
      </c>
    </row>
    <row r="39" spans="1:16" ht="12" hidden="1" thickBot="1" x14ac:dyDescent="0.25">
      <c r="A39" s="335" t="s">
        <v>25</v>
      </c>
      <c r="B39" s="336"/>
      <c r="C39" s="337" t="e">
        <f>SUM(C37,#REF!)</f>
        <v>#REF!</v>
      </c>
      <c r="D39" s="338" t="e">
        <f>SUM(D37,#REF!)</f>
        <v>#REF!</v>
      </c>
      <c r="E39" s="338" t="e">
        <f>SUM(E37,#REF!)</f>
        <v>#REF!</v>
      </c>
      <c r="F39" s="339" t="e">
        <f>SUM(F37,#REF!)</f>
        <v>#REF!</v>
      </c>
      <c r="G39" s="334"/>
      <c r="H39" s="434"/>
      <c r="I39" s="331"/>
      <c r="J39" s="79">
        <v>206730.35</v>
      </c>
    </row>
    <row r="40" spans="1:16" ht="12" thickBot="1" x14ac:dyDescent="0.25">
      <c r="B40" s="340"/>
      <c r="C40" s="434"/>
      <c r="D40" s="434"/>
      <c r="E40" s="434"/>
      <c r="F40" s="434"/>
      <c r="G40" s="334"/>
      <c r="H40" s="341"/>
      <c r="I40" s="331"/>
      <c r="J40" s="79"/>
      <c r="P40" s="434"/>
    </row>
    <row r="41" spans="1:16" ht="12" thickBot="1" x14ac:dyDescent="0.25">
      <c r="A41" s="796" t="s">
        <v>13</v>
      </c>
      <c r="B41" s="797"/>
      <c r="C41" s="342" t="s">
        <v>2</v>
      </c>
      <c r="D41" s="342" t="s">
        <v>3</v>
      </c>
      <c r="E41" s="342" t="s">
        <v>27</v>
      </c>
      <c r="F41" s="342" t="s">
        <v>5</v>
      </c>
      <c r="G41" s="269"/>
      <c r="H41" s="331"/>
      <c r="I41" s="343"/>
    </row>
    <row r="42" spans="1:16" ht="12" thickBot="1" x14ac:dyDescent="0.25">
      <c r="A42" s="784" t="s">
        <v>14</v>
      </c>
      <c r="B42" s="785"/>
      <c r="C42" s="344">
        <f>'January 2022'!F42</f>
        <v>143.75</v>
      </c>
      <c r="D42" s="345"/>
      <c r="E42" s="345">
        <v>10.16</v>
      </c>
      <c r="F42" s="346">
        <f>C42+D42-E42</f>
        <v>133.59</v>
      </c>
      <c r="G42" s="434"/>
      <c r="I42" s="331"/>
      <c r="J42" s="79"/>
    </row>
    <row r="43" spans="1:16" ht="12" thickBot="1" x14ac:dyDescent="0.25">
      <c r="A43" s="798" t="s">
        <v>15</v>
      </c>
      <c r="B43" s="799"/>
      <c r="C43" s="344">
        <f>'January 2022'!F43</f>
        <v>12985.540000000012</v>
      </c>
      <c r="D43" s="347">
        <v>18000</v>
      </c>
      <c r="E43" s="347">
        <v>20352.07</v>
      </c>
      <c r="F43" s="346">
        <f>C43+D43-E43+0.01</f>
        <v>10633.480000000012</v>
      </c>
      <c r="G43" s="434"/>
      <c r="H43" s="349"/>
      <c r="I43" s="331"/>
    </row>
    <row r="44" spans="1:16" ht="12" thickBot="1" x14ac:dyDescent="0.25">
      <c r="A44" s="350"/>
      <c r="B44" s="351" t="s">
        <v>21</v>
      </c>
      <c r="C44" s="344">
        <f>'January 2022'!F44</f>
        <v>0</v>
      </c>
      <c r="D44" s="352"/>
      <c r="E44" s="352"/>
      <c r="F44" s="346">
        <f t="shared" ref="F44:F48" si="4">C44+D44-E44</f>
        <v>0</v>
      </c>
      <c r="G44" s="434"/>
      <c r="H44" s="349"/>
      <c r="I44" s="79"/>
    </row>
    <row r="45" spans="1:16" ht="12" thickBot="1" x14ac:dyDescent="0.25">
      <c r="A45" s="350"/>
      <c r="B45" s="351" t="s">
        <v>40</v>
      </c>
      <c r="C45" s="344">
        <f>'January 2022'!F45</f>
        <v>-8489.1299999999992</v>
      </c>
      <c r="D45" s="353">
        <v>7987.65</v>
      </c>
      <c r="E45" s="353">
        <v>6451.83</v>
      </c>
      <c r="F45" s="346">
        <f>C45+D45-E45-0.01</f>
        <v>-6953.32</v>
      </c>
      <c r="G45" s="434"/>
      <c r="H45" s="79"/>
      <c r="I45" s="79"/>
    </row>
    <row r="46" spans="1:16" ht="12" thickBot="1" x14ac:dyDescent="0.25">
      <c r="A46" s="784" t="s">
        <v>16</v>
      </c>
      <c r="B46" s="785"/>
      <c r="C46" s="344">
        <f>'January 2022'!F46</f>
        <v>314826.17000000004</v>
      </c>
      <c r="D46" s="355">
        <v>15893.34</v>
      </c>
      <c r="E46" s="355">
        <v>18000</v>
      </c>
      <c r="F46" s="346">
        <f t="shared" si="4"/>
        <v>312719.51000000007</v>
      </c>
      <c r="G46" s="434"/>
      <c r="H46" s="79"/>
      <c r="I46" s="79"/>
    </row>
    <row r="47" spans="1:16" ht="12" thickBot="1" x14ac:dyDescent="0.25">
      <c r="A47" s="357" t="s">
        <v>46</v>
      </c>
      <c r="B47" s="358"/>
      <c r="C47" s="344">
        <f>'January 2022'!F47</f>
        <v>237842.16999999998</v>
      </c>
      <c r="D47" s="322">
        <v>44.58</v>
      </c>
      <c r="E47" s="322">
        <f>1000+37.98</f>
        <v>1037.98</v>
      </c>
      <c r="F47" s="346">
        <f>C47+D47-E47</f>
        <v>236848.76999999996</v>
      </c>
      <c r="G47" s="434"/>
      <c r="H47" s="79"/>
      <c r="I47" s="79"/>
    </row>
    <row r="48" spans="1:16" ht="12" thickBot="1" x14ac:dyDescent="0.25">
      <c r="A48" s="800"/>
      <c r="B48" s="795"/>
      <c r="C48" s="360">
        <f>SUM(C42+C43+C46+C47+C45+C44)</f>
        <v>557308.50000000012</v>
      </c>
      <c r="D48" s="361">
        <f>SUM(D42:D47)</f>
        <v>41925.570000000007</v>
      </c>
      <c r="E48" s="361">
        <f>SUM(E42:E47)</f>
        <v>45852.04</v>
      </c>
      <c r="F48" s="346">
        <f t="shared" si="4"/>
        <v>553382.03</v>
      </c>
      <c r="G48" s="434"/>
      <c r="H48" s="331"/>
      <c r="I48" s="79"/>
      <c r="J48" s="266"/>
    </row>
    <row r="49" spans="1:16" x14ac:dyDescent="0.2">
      <c r="A49" s="437"/>
      <c r="B49" s="432"/>
      <c r="C49" s="434">
        <f>C37-C48</f>
        <v>-1046.9000000001397</v>
      </c>
      <c r="D49" s="434"/>
      <c r="E49" s="434"/>
      <c r="F49" s="434">
        <f>F37-F48</f>
        <v>-1371.9699999999721</v>
      </c>
      <c r="H49" s="434"/>
      <c r="I49" s="331"/>
      <c r="J49" s="331"/>
      <c r="K49" s="266"/>
    </row>
    <row r="50" spans="1:16" x14ac:dyDescent="0.2">
      <c r="B50" s="340"/>
      <c r="C50" s="434"/>
      <c r="D50" s="434"/>
      <c r="E50" s="434"/>
      <c r="F50" s="434"/>
      <c r="G50" s="434"/>
      <c r="H50" s="434"/>
      <c r="I50" s="331"/>
    </row>
    <row r="51" spans="1:16" x14ac:dyDescent="0.2">
      <c r="A51" s="801" t="s">
        <v>17</v>
      </c>
      <c r="B51" s="801"/>
      <c r="C51" s="801"/>
      <c r="D51" s="801"/>
      <c r="E51" s="802" t="s">
        <v>18</v>
      </c>
      <c r="F51" s="802"/>
      <c r="G51" s="434"/>
      <c r="H51" s="434"/>
      <c r="J51" s="331"/>
    </row>
    <row r="52" spans="1:16" x14ac:dyDescent="0.2">
      <c r="C52" s="434"/>
      <c r="D52" s="434"/>
      <c r="E52" s="434"/>
      <c r="F52" s="434"/>
      <c r="G52" s="434"/>
      <c r="H52" s="434"/>
    </row>
    <row r="53" spans="1:16" x14ac:dyDescent="0.2">
      <c r="A53" s="801" t="s">
        <v>19</v>
      </c>
      <c r="B53" s="801"/>
      <c r="C53" s="801"/>
      <c r="D53" s="801"/>
      <c r="E53" s="802" t="s">
        <v>18</v>
      </c>
      <c r="F53" s="802"/>
      <c r="G53" s="434"/>
      <c r="H53" s="434"/>
    </row>
    <row r="54" spans="1:16" x14ac:dyDescent="0.2">
      <c r="A54" s="437"/>
      <c r="B54" s="432"/>
      <c r="C54" s="266"/>
      <c r="D54" s="266"/>
      <c r="E54" s="266"/>
      <c r="F54" s="79"/>
      <c r="G54" s="266"/>
      <c r="H54" s="266"/>
      <c r="I54" s="331"/>
      <c r="J54" s="79"/>
      <c r="P54" s="364"/>
    </row>
    <row r="55" spans="1:16" x14ac:dyDescent="0.2">
      <c r="B55" s="340"/>
      <c r="C55" s="331"/>
      <c r="D55" s="331"/>
      <c r="E55" s="331"/>
      <c r="F55" s="331"/>
      <c r="I55" s="331"/>
      <c r="J55" s="343"/>
      <c r="L55" s="266"/>
      <c r="P55" s="364"/>
    </row>
    <row r="56" spans="1:16" x14ac:dyDescent="0.2">
      <c r="B56" s="340"/>
      <c r="C56" s="79"/>
      <c r="D56" s="331"/>
      <c r="F56" s="331"/>
      <c r="J56" s="331"/>
    </row>
  </sheetData>
  <mergeCells count="17">
    <mergeCell ref="A48:B48"/>
    <mergeCell ref="A51:D51"/>
    <mergeCell ref="E51:F51"/>
    <mergeCell ref="A53:D53"/>
    <mergeCell ref="E53:F53"/>
    <mergeCell ref="A46:B46"/>
    <mergeCell ref="A2:G2"/>
    <mergeCell ref="A3:G3"/>
    <mergeCell ref="A5:B5"/>
    <mergeCell ref="A6:B6"/>
    <mergeCell ref="A17:B17"/>
    <mergeCell ref="A23:B23"/>
    <mergeCell ref="A32:B32"/>
    <mergeCell ref="A37:B37"/>
    <mergeCell ref="A41:B41"/>
    <mergeCell ref="A42:B42"/>
    <mergeCell ref="A43:B43"/>
  </mergeCells>
  <pageMargins left="0.7" right="0.7" top="0.75" bottom="0.75" header="0.3" footer="0.3"/>
  <pageSetup scale="91" orientation="portrait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A3EC2-0C23-4BF6-A599-5E179B836988}">
  <sheetPr>
    <pageSetUpPr fitToPage="1"/>
  </sheetPr>
  <dimension ref="A1:R56"/>
  <sheetViews>
    <sheetView topLeftCell="A5" zoomScale="120" zoomScaleNormal="120" workbookViewId="0">
      <selection activeCell="E8" sqref="E8"/>
    </sheetView>
  </sheetViews>
  <sheetFormatPr defaultColWidth="9.140625" defaultRowHeight="11.25" x14ac:dyDescent="0.2"/>
  <cols>
    <col min="1" max="1" width="10.7109375" style="439" customWidth="1"/>
    <col min="2" max="2" width="28.140625" style="439" customWidth="1"/>
    <col min="3" max="3" width="10.5703125" style="439" customWidth="1"/>
    <col min="4" max="4" width="9.42578125" style="439" customWidth="1"/>
    <col min="5" max="5" width="9.140625" style="439"/>
    <col min="6" max="6" width="10.28515625" style="439" customWidth="1"/>
    <col min="7" max="7" width="8.85546875" style="439" customWidth="1"/>
    <col min="8" max="8" width="12.140625" style="439" customWidth="1"/>
    <col min="9" max="9" width="14.7109375" style="439" customWidth="1"/>
    <col min="10" max="10" width="14.5703125" style="439" customWidth="1"/>
    <col min="11" max="11" width="11.28515625" style="439" customWidth="1"/>
    <col min="12" max="15" width="9.140625" style="439"/>
    <col min="16" max="16" width="13" style="439" customWidth="1"/>
    <col min="17" max="16384" width="9.140625" style="439"/>
  </cols>
  <sheetData>
    <row r="1" spans="1:18" hidden="1" x14ac:dyDescent="0.2"/>
    <row r="2" spans="1:18" x14ac:dyDescent="0.2">
      <c r="A2" s="786" t="s">
        <v>0</v>
      </c>
      <c r="B2" s="786"/>
      <c r="C2" s="786"/>
      <c r="D2" s="786"/>
      <c r="E2" s="786"/>
      <c r="F2" s="786"/>
      <c r="G2" s="786"/>
      <c r="H2" s="441"/>
    </row>
    <row r="3" spans="1:18" x14ac:dyDescent="0.2">
      <c r="A3" s="787" t="s">
        <v>108</v>
      </c>
      <c r="B3" s="787"/>
      <c r="C3" s="787"/>
      <c r="D3" s="787"/>
      <c r="E3" s="787"/>
      <c r="F3" s="787"/>
      <c r="G3" s="787"/>
      <c r="H3" s="442"/>
    </row>
    <row r="4" spans="1:18" ht="12" thickBot="1" x14ac:dyDescent="0.25">
      <c r="B4" s="265" t="s">
        <v>37</v>
      </c>
      <c r="F4" s="266"/>
      <c r="I4" s="267"/>
    </row>
    <row r="5" spans="1:18" x14ac:dyDescent="0.2">
      <c r="A5" s="788" t="s">
        <v>1</v>
      </c>
      <c r="B5" s="789"/>
      <c r="C5" s="268" t="s">
        <v>2</v>
      </c>
      <c r="D5" s="268" t="s">
        <v>3</v>
      </c>
      <c r="E5" s="268" t="s">
        <v>58</v>
      </c>
      <c r="F5" s="268" t="s">
        <v>5</v>
      </c>
      <c r="G5" s="268" t="s">
        <v>6</v>
      </c>
      <c r="H5" s="269"/>
      <c r="I5" s="269"/>
    </row>
    <row r="6" spans="1:18" ht="15" x14ac:dyDescent="0.25">
      <c r="A6" s="803" t="s">
        <v>7</v>
      </c>
      <c r="B6" s="804"/>
      <c r="C6" s="270">
        <f>SUM(C7:C16)</f>
        <v>198290.61999999994</v>
      </c>
      <c r="D6" s="271">
        <f>SUM(D7:D16)</f>
        <v>2648.0099999999998</v>
      </c>
      <c r="E6" s="271">
        <f>SUM(E7:E16)</f>
        <v>-2558.1800000000007</v>
      </c>
      <c r="F6" s="271">
        <f>SUM(F7:F16)</f>
        <v>203496.80999999994</v>
      </c>
      <c r="G6" s="272">
        <f>SUM(G7:G15)</f>
        <v>0</v>
      </c>
      <c r="H6" s="273"/>
      <c r="I6" s="273"/>
      <c r="J6" s="273"/>
      <c r="K6" s="440"/>
      <c r="P6" s="440"/>
      <c r="R6" s="440"/>
    </row>
    <row r="7" spans="1:18" ht="12" customHeight="1" x14ac:dyDescent="0.2">
      <c r="A7" s="275"/>
      <c r="B7" s="276" t="s">
        <v>23</v>
      </c>
      <c r="C7" s="277">
        <f>'February 2022'!F7</f>
        <v>196522.49999999994</v>
      </c>
      <c r="D7" s="278"/>
      <c r="E7" s="430">
        <f>1000+833.18-6985.12</f>
        <v>-5151.9400000000005</v>
      </c>
      <c r="F7" s="279">
        <f>C7+D7-E7</f>
        <v>201674.43999999994</v>
      </c>
      <c r="G7" s="280"/>
      <c r="H7" s="281"/>
      <c r="I7" s="440"/>
    </row>
    <row r="8" spans="1:18" x14ac:dyDescent="0.2">
      <c r="A8" s="282"/>
      <c r="B8" s="283" t="s">
        <v>62</v>
      </c>
      <c r="C8" s="277">
        <f>'February 2022'!F8</f>
        <v>-4945.93</v>
      </c>
      <c r="D8" s="284"/>
      <c r="E8" s="284">
        <v>2469.29</v>
      </c>
      <c r="F8" s="286">
        <f t="shared" ref="F8:F15" si="0">C8+D8-E8</f>
        <v>-7415.22</v>
      </c>
      <c r="G8" s="280"/>
      <c r="H8" s="273"/>
      <c r="I8" s="287"/>
    </row>
    <row r="9" spans="1:18" hidden="1" x14ac:dyDescent="0.2">
      <c r="A9" s="282"/>
      <c r="B9" s="288" t="s">
        <v>67</v>
      </c>
      <c r="C9" s="277">
        <f>'February 2022'!F9</f>
        <v>0</v>
      </c>
      <c r="D9" s="284"/>
      <c r="E9" s="284"/>
      <c r="F9" s="279">
        <f t="shared" si="0"/>
        <v>0</v>
      </c>
      <c r="G9" s="280"/>
      <c r="H9" s="273"/>
      <c r="I9" s="289"/>
      <c r="J9" s="440"/>
    </row>
    <row r="10" spans="1:18" hidden="1" x14ac:dyDescent="0.2">
      <c r="A10" s="282"/>
      <c r="B10" s="288" t="s">
        <v>41</v>
      </c>
      <c r="C10" s="277">
        <f>'February 2022'!F10</f>
        <v>-1.0000000002037268E-2</v>
      </c>
      <c r="D10" s="290"/>
      <c r="E10" s="290"/>
      <c r="F10" s="286">
        <f t="shared" si="0"/>
        <v>-1.0000000002037268E-2</v>
      </c>
      <c r="G10" s="280"/>
      <c r="H10" s="273"/>
      <c r="I10" s="291"/>
      <c r="J10" s="440"/>
    </row>
    <row r="11" spans="1:18" hidden="1" x14ac:dyDescent="0.2">
      <c r="A11" s="282"/>
      <c r="B11" s="288" t="s">
        <v>29</v>
      </c>
      <c r="C11" s="277">
        <f>'February 2022'!F11</f>
        <v>0</v>
      </c>
      <c r="D11" s="292"/>
      <c r="E11" s="292"/>
      <c r="F11" s="279">
        <f t="shared" si="0"/>
        <v>0</v>
      </c>
      <c r="G11" s="280"/>
      <c r="H11" s="273"/>
      <c r="I11" s="293"/>
    </row>
    <row r="12" spans="1:18" x14ac:dyDescent="0.2">
      <c r="A12" s="282"/>
      <c r="B12" s="288" t="s">
        <v>20</v>
      </c>
      <c r="C12" s="277">
        <f>'February 2022'!F12</f>
        <v>6460.0100000000011</v>
      </c>
      <c r="D12" s="294">
        <f>2174.49+303.14</f>
        <v>2477.6299999999997</v>
      </c>
      <c r="E12" s="294">
        <f>8.47+116</f>
        <v>124.47</v>
      </c>
      <c r="F12" s="295">
        <f>C12+D12-E12</f>
        <v>8813.1700000000019</v>
      </c>
      <c r="G12" s="280"/>
      <c r="H12" s="273" t="s">
        <v>107</v>
      </c>
      <c r="I12" s="440"/>
    </row>
    <row r="13" spans="1:18" x14ac:dyDescent="0.2">
      <c r="A13" s="282"/>
      <c r="B13" s="288" t="s">
        <v>22</v>
      </c>
      <c r="C13" s="277">
        <f>'February 2022'!F13</f>
        <v>486.46999999999991</v>
      </c>
      <c r="D13" s="294">
        <v>170.38</v>
      </c>
      <c r="E13" s="294"/>
      <c r="F13" s="295">
        <f>C13+D13-E13</f>
        <v>656.84999999999991</v>
      </c>
      <c r="G13" s="280"/>
      <c r="H13" s="273"/>
      <c r="I13" s="440"/>
    </row>
    <row r="14" spans="1:18" x14ac:dyDescent="0.2">
      <c r="A14" s="282"/>
      <c r="B14" s="288" t="s">
        <v>28</v>
      </c>
      <c r="C14" s="277">
        <f>'February 2022'!F14</f>
        <v>-153.75000000000114</v>
      </c>
      <c r="D14" s="294"/>
      <c r="E14" s="294"/>
      <c r="F14" s="286">
        <f t="shared" si="0"/>
        <v>-153.75000000000114</v>
      </c>
      <c r="G14" s="280"/>
      <c r="H14" s="273"/>
      <c r="I14" s="440"/>
    </row>
    <row r="15" spans="1:18" x14ac:dyDescent="0.2">
      <c r="A15" s="282"/>
      <c r="B15" s="296" t="s">
        <v>42</v>
      </c>
      <c r="C15" s="277">
        <f>'February 2022'!F15</f>
        <v>518.22</v>
      </c>
      <c r="D15" s="284"/>
      <c r="E15" s="284"/>
      <c r="F15" s="297">
        <f t="shared" si="0"/>
        <v>518.22</v>
      </c>
      <c r="G15" s="280"/>
      <c r="H15" s="273"/>
      <c r="I15" s="440"/>
    </row>
    <row r="16" spans="1:18" x14ac:dyDescent="0.2">
      <c r="A16" s="282"/>
      <c r="B16" s="296" t="s">
        <v>43</v>
      </c>
      <c r="C16" s="277">
        <f>'February 2022'!F16</f>
        <v>-596.89000000000033</v>
      </c>
      <c r="D16" s="284"/>
      <c r="E16" s="284"/>
      <c r="F16" s="295">
        <f>C16+D16-E16</f>
        <v>-596.89000000000033</v>
      </c>
      <c r="G16" s="280"/>
      <c r="H16" s="273"/>
      <c r="I16" s="273"/>
      <c r="P16" s="440"/>
    </row>
    <row r="17" spans="1:16" ht="15" x14ac:dyDescent="0.25">
      <c r="A17" s="805" t="s">
        <v>53</v>
      </c>
      <c r="B17" s="806"/>
      <c r="C17" s="298">
        <f>SUM(C18:C22)</f>
        <v>-14857.730000000005</v>
      </c>
      <c r="D17" s="299">
        <f>SUM(D18:D22)</f>
        <v>0</v>
      </c>
      <c r="E17" s="299">
        <f>SUM(E18:E22)</f>
        <v>5281.9500000000007</v>
      </c>
      <c r="F17" s="286">
        <f>SUM(F18:F22)</f>
        <v>-20139.680000000004</v>
      </c>
      <c r="G17" s="300"/>
      <c r="H17" s="273"/>
      <c r="I17" s="273"/>
      <c r="P17" s="440"/>
    </row>
    <row r="18" spans="1:16" x14ac:dyDescent="0.2">
      <c r="A18" s="301"/>
      <c r="B18" s="302" t="s">
        <v>9</v>
      </c>
      <c r="C18" s="303">
        <f>'February 2022'!F18</f>
        <v>-9221.7200000000012</v>
      </c>
      <c r="D18" s="304"/>
      <c r="E18" s="305">
        <v>3902.08</v>
      </c>
      <c r="F18" s="306">
        <f>C18+D18-E18</f>
        <v>-13123.800000000001</v>
      </c>
      <c r="G18" s="284">
        <v>30352</v>
      </c>
      <c r="H18" s="273" t="s">
        <v>107</v>
      </c>
      <c r="I18" s="440"/>
      <c r="J18" s="79"/>
    </row>
    <row r="19" spans="1:16" x14ac:dyDescent="0.2">
      <c r="A19" s="282"/>
      <c r="B19" s="307" t="s">
        <v>8</v>
      </c>
      <c r="C19" s="303">
        <f>'February 2022'!F19</f>
        <v>-3016.530000000002</v>
      </c>
      <c r="D19" s="294"/>
      <c r="E19" s="290">
        <f>563.97+84.25</f>
        <v>648.22</v>
      </c>
      <c r="F19" s="306">
        <f>C19+D19-E19</f>
        <v>-3664.7500000000018</v>
      </c>
      <c r="G19" s="308"/>
      <c r="H19" s="273"/>
      <c r="I19" s="440"/>
    </row>
    <row r="20" spans="1:16" x14ac:dyDescent="0.2">
      <c r="A20" s="282"/>
      <c r="B20" s="307" t="s">
        <v>32</v>
      </c>
      <c r="C20" s="303">
        <f>'February 2022'!F20</f>
        <v>-396.3100000000004</v>
      </c>
      <c r="D20" s="294"/>
      <c r="E20" s="290">
        <v>152.43</v>
      </c>
      <c r="F20" s="306">
        <f t="shared" ref="F20:F22" si="1">C20+D20-E20</f>
        <v>-548.74000000000046</v>
      </c>
      <c r="G20" s="309">
        <v>5000</v>
      </c>
      <c r="H20" s="273" t="s">
        <v>107</v>
      </c>
      <c r="I20" s="440"/>
    </row>
    <row r="21" spans="1:16" hidden="1" x14ac:dyDescent="0.2">
      <c r="A21" s="282"/>
      <c r="B21" s="307" t="s">
        <v>67</v>
      </c>
      <c r="C21" s="303">
        <f>'February 2022'!F21</f>
        <v>-9.0951551845463996E-15</v>
      </c>
      <c r="D21" s="294"/>
      <c r="E21" s="294"/>
      <c r="F21" s="306">
        <f t="shared" si="1"/>
        <v>-9.0951551845463996E-15</v>
      </c>
      <c r="G21" s="309"/>
      <c r="H21" s="273"/>
      <c r="I21" s="440"/>
    </row>
    <row r="22" spans="1:16" x14ac:dyDescent="0.2">
      <c r="A22" s="310"/>
      <c r="B22" s="311" t="s">
        <v>38</v>
      </c>
      <c r="C22" s="303">
        <f>'February 2022'!F22</f>
        <v>-2223.17</v>
      </c>
      <c r="D22" s="312"/>
      <c r="E22" s="305">
        <v>579.22</v>
      </c>
      <c r="F22" s="306">
        <f t="shared" si="1"/>
        <v>-2802.3900000000003</v>
      </c>
      <c r="G22" s="284">
        <v>8500</v>
      </c>
      <c r="H22" s="273" t="s">
        <v>107</v>
      </c>
      <c r="I22" s="440"/>
      <c r="J22" s="79"/>
    </row>
    <row r="23" spans="1:16" x14ac:dyDescent="0.2">
      <c r="A23" s="807" t="s">
        <v>10</v>
      </c>
      <c r="B23" s="808"/>
      <c r="C23" s="298">
        <f>SUM(C24:C31)</f>
        <v>286192.33</v>
      </c>
      <c r="D23" s="313">
        <f>SUM(D24:D31)</f>
        <v>0</v>
      </c>
      <c r="E23" s="314">
        <f>SUM(E24:E31)</f>
        <v>8316.7199999999993</v>
      </c>
      <c r="F23" s="314">
        <f>SUM(F24:F31)-0.08</f>
        <v>277875.53000000003</v>
      </c>
      <c r="G23" s="315">
        <f>SUM(G31:G35)</f>
        <v>70000</v>
      </c>
      <c r="H23" s="273"/>
      <c r="I23" s="273"/>
      <c r="P23" s="440"/>
    </row>
    <row r="24" spans="1:16" hidden="1" x14ac:dyDescent="0.2">
      <c r="A24" s="301"/>
      <c r="B24" s="316" t="s">
        <v>55</v>
      </c>
      <c r="C24" s="303">
        <f>'February 2021'!G24</f>
        <v>0</v>
      </c>
      <c r="D24" s="317"/>
      <c r="E24" s="304"/>
      <c r="F24" s="318">
        <f>C24+D24-E24</f>
        <v>0</v>
      </c>
      <c r="G24" s="278"/>
      <c r="H24" s="273"/>
      <c r="I24" s="440"/>
      <c r="J24" s="319"/>
    </row>
    <row r="25" spans="1:16" hidden="1" x14ac:dyDescent="0.2">
      <c r="A25" s="310"/>
      <c r="B25" s="296" t="s">
        <v>70</v>
      </c>
      <c r="C25" s="303">
        <f>'January 2022'!F25</f>
        <v>7.9999999998108251E-2</v>
      </c>
      <c r="D25" s="312"/>
      <c r="E25" s="312"/>
      <c r="F25" s="318">
        <f>C25+D25-E25</f>
        <v>7.9999999998108251E-2</v>
      </c>
      <c r="G25" s="284"/>
      <c r="H25" s="273"/>
      <c r="I25" s="440"/>
      <c r="J25" s="319"/>
    </row>
    <row r="26" spans="1:16" x14ac:dyDescent="0.2">
      <c r="A26" s="275"/>
      <c r="B26" s="320" t="s">
        <v>105</v>
      </c>
      <c r="C26" s="303">
        <f>'February 2022'!F26</f>
        <v>18710.000000000007</v>
      </c>
      <c r="D26" s="305"/>
      <c r="E26" s="321"/>
      <c r="F26" s="318">
        <f t="shared" ref="F26:F31" si="2">C26+D26-E26</f>
        <v>18710.000000000007</v>
      </c>
      <c r="G26" s="284"/>
      <c r="H26" s="273"/>
      <c r="I26" s="440"/>
      <c r="J26" s="440"/>
    </row>
    <row r="27" spans="1:16" hidden="1" x14ac:dyDescent="0.2">
      <c r="A27" s="275"/>
      <c r="B27" s="320" t="s">
        <v>39</v>
      </c>
      <c r="C27" s="303">
        <f>'February 2022'!F27</f>
        <v>8.1854523159563541E-12</v>
      </c>
      <c r="D27" s="312"/>
      <c r="E27" s="305"/>
      <c r="F27" s="318">
        <f t="shared" si="2"/>
        <v>8.1854523159563541E-12</v>
      </c>
      <c r="G27" s="284"/>
      <c r="H27" s="273"/>
      <c r="I27" s="440"/>
      <c r="J27" s="440"/>
    </row>
    <row r="28" spans="1:16" x14ac:dyDescent="0.2">
      <c r="A28" s="275"/>
      <c r="B28" s="320" t="s">
        <v>65</v>
      </c>
      <c r="C28" s="303">
        <f>'February 2022'!F28</f>
        <v>8536.1700000000092</v>
      </c>
      <c r="D28" s="312"/>
      <c r="E28" s="312">
        <v>8316.7199999999993</v>
      </c>
      <c r="F28" s="318">
        <f t="shared" si="2"/>
        <v>219.45000000000982</v>
      </c>
      <c r="G28" s="284"/>
      <c r="H28" s="273"/>
      <c r="I28" s="440"/>
      <c r="J28" s="440"/>
    </row>
    <row r="29" spans="1:16" x14ac:dyDescent="0.2">
      <c r="A29" s="275"/>
      <c r="B29" s="320" t="s">
        <v>86</v>
      </c>
      <c r="C29" s="303">
        <f>'February 2022'!F29</f>
        <v>134492</v>
      </c>
      <c r="D29" s="312"/>
      <c r="E29" s="312"/>
      <c r="F29" s="318">
        <f t="shared" si="2"/>
        <v>134492</v>
      </c>
      <c r="G29" s="284"/>
      <c r="H29" s="273"/>
      <c r="I29" s="440"/>
      <c r="J29" s="440"/>
    </row>
    <row r="30" spans="1:16" x14ac:dyDescent="0.2">
      <c r="A30" s="275"/>
      <c r="B30" s="320" t="s">
        <v>101</v>
      </c>
      <c r="C30" s="303">
        <f>'February 2022'!F30</f>
        <v>124406</v>
      </c>
      <c r="D30" s="312"/>
      <c r="E30" s="312"/>
      <c r="F30" s="318">
        <f t="shared" si="2"/>
        <v>124406</v>
      </c>
      <c r="G30" s="284"/>
      <c r="H30" s="273"/>
      <c r="I30" s="440"/>
      <c r="J30" s="440"/>
    </row>
    <row r="31" spans="1:16" x14ac:dyDescent="0.2">
      <c r="A31" s="310"/>
      <c r="B31" s="296" t="s">
        <v>44</v>
      </c>
      <c r="C31" s="303">
        <f>'February 2022'!F31</f>
        <v>48.079999999999984</v>
      </c>
      <c r="D31" s="312"/>
      <c r="E31" s="305"/>
      <c r="F31" s="318">
        <f t="shared" si="2"/>
        <v>48.079999999999984</v>
      </c>
      <c r="G31" s="284"/>
      <c r="H31" s="273"/>
      <c r="I31" s="440"/>
      <c r="J31" s="319"/>
    </row>
    <row r="32" spans="1:16" x14ac:dyDescent="0.2">
      <c r="A32" s="809" t="s">
        <v>35</v>
      </c>
      <c r="B32" s="810"/>
      <c r="C32" s="298">
        <f>SUM(C33:C36)</f>
        <v>82709.890000000014</v>
      </c>
      <c r="D32" s="313">
        <f>SUM(D33:D36)</f>
        <v>0</v>
      </c>
      <c r="E32" s="314">
        <f>SUM(E33:E35)</f>
        <v>350.58</v>
      </c>
      <c r="F32" s="314">
        <f>SUM(F33:F36)</f>
        <v>82359.31</v>
      </c>
      <c r="G32" s="315">
        <f>SUM(G33:G35)</f>
        <v>35000</v>
      </c>
      <c r="H32" s="273"/>
      <c r="I32" s="273"/>
      <c r="P32" s="440"/>
    </row>
    <row r="33" spans="1:16" x14ac:dyDescent="0.2">
      <c r="A33" s="310"/>
      <c r="B33" s="296" t="s">
        <v>104</v>
      </c>
      <c r="C33" s="303">
        <f>'February 2022'!F33</f>
        <v>26652.400000000001</v>
      </c>
      <c r="D33" s="322"/>
      <c r="E33" s="323">
        <v>320.08999999999997</v>
      </c>
      <c r="F33" s="324">
        <f>C33+D33-E33</f>
        <v>26332.31</v>
      </c>
      <c r="G33" s="284"/>
      <c r="H33" s="273"/>
      <c r="I33" s="440"/>
      <c r="J33" s="319"/>
    </row>
    <row r="34" spans="1:16" x14ac:dyDescent="0.2">
      <c r="A34" s="310"/>
      <c r="B34" s="296" t="s">
        <v>90</v>
      </c>
      <c r="C34" s="303">
        <f>'February 2022'!F34</f>
        <v>25032.220000000008</v>
      </c>
      <c r="D34" s="322"/>
      <c r="E34" s="323">
        <v>30.49</v>
      </c>
      <c r="F34" s="324">
        <f t="shared" ref="F34" si="3">C34+D34-E34</f>
        <v>25001.730000000007</v>
      </c>
      <c r="G34" s="284">
        <v>35000</v>
      </c>
      <c r="H34" s="273"/>
      <c r="I34" s="440"/>
      <c r="J34" s="319"/>
    </row>
    <row r="35" spans="1:16" x14ac:dyDescent="0.2">
      <c r="A35" s="310"/>
      <c r="B35" s="325" t="s">
        <v>103</v>
      </c>
      <c r="C35" s="303">
        <f>'February 2022'!F35</f>
        <v>20475.269999999997</v>
      </c>
      <c r="D35" s="322"/>
      <c r="E35" s="305"/>
      <c r="F35" s="324">
        <f>C35+D35-E35</f>
        <v>20475.269999999997</v>
      </c>
      <c r="G35" s="284"/>
      <c r="H35" s="273"/>
      <c r="I35" s="293"/>
      <c r="J35" s="266"/>
      <c r="P35" s="326"/>
    </row>
    <row r="36" spans="1:16" ht="12" thickBot="1" x14ac:dyDescent="0.25">
      <c r="B36" s="439" t="s">
        <v>99</v>
      </c>
      <c r="C36" s="303">
        <f>'February 2022'!F36</f>
        <v>10550</v>
      </c>
      <c r="D36" s="431"/>
      <c r="F36" s="324">
        <f>C36+D36-E36</f>
        <v>10550</v>
      </c>
    </row>
    <row r="37" spans="1:16" ht="12" thickBot="1" x14ac:dyDescent="0.25">
      <c r="A37" s="794" t="s">
        <v>11</v>
      </c>
      <c r="B37" s="795"/>
      <c r="C37" s="327">
        <f>C32+C23+C17+C6-324.97</f>
        <v>552010.14</v>
      </c>
      <c r="D37" s="328">
        <f>SUM(D23,D17,D6,D32)</f>
        <v>2648.0099999999998</v>
      </c>
      <c r="E37" s="328">
        <f>SUM(E23,E17,E6,E32)</f>
        <v>11391.07</v>
      </c>
      <c r="F37" s="329">
        <f>SUM(F23,F17,F6,F32)-324.97</f>
        <v>543267</v>
      </c>
      <c r="G37" s="330">
        <f>SUM(G6,G16,G23,G32)</f>
        <v>105000</v>
      </c>
      <c r="H37" s="440"/>
      <c r="I37" s="440"/>
      <c r="J37" s="331"/>
    </row>
    <row r="38" spans="1:16" hidden="1" x14ac:dyDescent="0.2">
      <c r="A38" s="443"/>
      <c r="B38" s="438"/>
      <c r="C38" s="440">
        <f>SUM(C17:C22)</f>
        <v>-29715.460000000006</v>
      </c>
      <c r="D38" s="440"/>
      <c r="E38" s="440"/>
      <c r="F38" s="440"/>
      <c r="G38" s="334"/>
      <c r="H38" s="440"/>
      <c r="K38" s="439" t="s">
        <v>12</v>
      </c>
      <c r="L38" s="439">
        <v>42.43</v>
      </c>
    </row>
    <row r="39" spans="1:16" ht="12" hidden="1" thickBot="1" x14ac:dyDescent="0.25">
      <c r="A39" s="335" t="s">
        <v>25</v>
      </c>
      <c r="B39" s="336"/>
      <c r="C39" s="337" t="e">
        <f>SUM(C37,#REF!)</f>
        <v>#REF!</v>
      </c>
      <c r="D39" s="338" t="e">
        <f>SUM(D37,#REF!)</f>
        <v>#REF!</v>
      </c>
      <c r="E39" s="338" t="e">
        <f>SUM(E37,#REF!)</f>
        <v>#REF!</v>
      </c>
      <c r="F39" s="339" t="e">
        <f>SUM(F37,#REF!)</f>
        <v>#REF!</v>
      </c>
      <c r="G39" s="334"/>
      <c r="H39" s="440"/>
      <c r="I39" s="331"/>
      <c r="J39" s="79">
        <v>206730.35</v>
      </c>
    </row>
    <row r="40" spans="1:16" ht="12" thickBot="1" x14ac:dyDescent="0.25">
      <c r="B40" s="340"/>
      <c r="C40" s="440"/>
      <c r="D40" s="440"/>
      <c r="E40" s="440"/>
      <c r="F40" s="440"/>
      <c r="G40" s="334"/>
      <c r="H40" s="341"/>
      <c r="I40" s="331"/>
      <c r="J40" s="79"/>
      <c r="P40" s="440"/>
    </row>
    <row r="41" spans="1:16" ht="12" thickBot="1" x14ac:dyDescent="0.25">
      <c r="A41" s="796" t="s">
        <v>13</v>
      </c>
      <c r="B41" s="797"/>
      <c r="C41" s="342" t="s">
        <v>2</v>
      </c>
      <c r="D41" s="342" t="s">
        <v>3</v>
      </c>
      <c r="E41" s="342" t="s">
        <v>27</v>
      </c>
      <c r="F41" s="342" t="s">
        <v>5</v>
      </c>
      <c r="G41" s="269"/>
      <c r="H41" s="331"/>
      <c r="I41" s="343"/>
    </row>
    <row r="42" spans="1:16" ht="12" thickBot="1" x14ac:dyDescent="0.25">
      <c r="A42" s="784" t="s">
        <v>14</v>
      </c>
      <c r="B42" s="785"/>
      <c r="C42" s="344">
        <f>'February 2022'!F42</f>
        <v>133.59</v>
      </c>
      <c r="D42" s="345"/>
      <c r="E42" s="345">
        <v>11.36</v>
      </c>
      <c r="F42" s="346">
        <f>C42+D42-E42</f>
        <v>122.23</v>
      </c>
      <c r="G42" s="440"/>
      <c r="I42" s="331"/>
      <c r="J42" s="79"/>
    </row>
    <row r="43" spans="1:16" ht="12" thickBot="1" x14ac:dyDescent="0.25">
      <c r="A43" s="798" t="s">
        <v>15</v>
      </c>
      <c r="B43" s="799"/>
      <c r="C43" s="344">
        <f>'February 2022'!F43</f>
        <v>10633.480000000012</v>
      </c>
      <c r="D43" s="347">
        <v>12000</v>
      </c>
      <c r="E43" s="347">
        <v>16880.72</v>
      </c>
      <c r="F43" s="346">
        <f>C43+D43-E43+0.01</f>
        <v>5752.7700000000095</v>
      </c>
      <c r="G43" s="440"/>
      <c r="H43" s="349"/>
      <c r="I43" s="331"/>
    </row>
    <row r="44" spans="1:16" ht="12" thickBot="1" x14ac:dyDescent="0.25">
      <c r="A44" s="350"/>
      <c r="B44" s="351" t="s">
        <v>21</v>
      </c>
      <c r="C44" s="344">
        <f>'February 2022'!F44</f>
        <v>0</v>
      </c>
      <c r="D44" s="352"/>
      <c r="E44" s="352"/>
      <c r="F44" s="346">
        <f t="shared" ref="F44:F48" si="4">C44+D44-E44</f>
        <v>0</v>
      </c>
      <c r="G44" s="440"/>
      <c r="H44" s="349"/>
      <c r="I44" s="79"/>
    </row>
    <row r="45" spans="1:16" ht="12" thickBot="1" x14ac:dyDescent="0.25">
      <c r="A45" s="350"/>
      <c r="B45" s="351" t="s">
        <v>40</v>
      </c>
      <c r="C45" s="344">
        <f>'February 2022'!F45</f>
        <v>-6953.32</v>
      </c>
      <c r="D45" s="353">
        <v>6451.83</v>
      </c>
      <c r="E45" s="353">
        <v>64.64</v>
      </c>
      <c r="F45" s="346">
        <f>C45+D45-E45-0.01</f>
        <v>-566.13999999999976</v>
      </c>
      <c r="G45" s="440"/>
      <c r="H45" s="79"/>
      <c r="I45" s="79"/>
    </row>
    <row r="46" spans="1:16" ht="12" thickBot="1" x14ac:dyDescent="0.25">
      <c r="A46" s="784" t="s">
        <v>16</v>
      </c>
      <c r="B46" s="785"/>
      <c r="C46" s="344">
        <f>'February 2022'!F46</f>
        <v>312719.51000000007</v>
      </c>
      <c r="D46" s="355">
        <v>2712.49</v>
      </c>
      <c r="E46" s="355">
        <v>12000</v>
      </c>
      <c r="F46" s="346">
        <f t="shared" si="4"/>
        <v>303432.00000000006</v>
      </c>
      <c r="G46" s="440"/>
      <c r="H46" s="79"/>
      <c r="I46" s="79"/>
    </row>
    <row r="47" spans="1:16" ht="12" thickBot="1" x14ac:dyDescent="0.25">
      <c r="A47" s="357" t="s">
        <v>46</v>
      </c>
      <c r="B47" s="358"/>
      <c r="C47" s="344">
        <f>'February 2022'!F47</f>
        <v>236848.76999999996</v>
      </c>
      <c r="D47" s="322">
        <v>49.37</v>
      </c>
      <c r="E47" s="322">
        <v>1000</v>
      </c>
      <c r="F47" s="346">
        <f>C47+D47-E47</f>
        <v>235898.13999999996</v>
      </c>
      <c r="G47" s="440"/>
      <c r="H47" s="79"/>
      <c r="I47" s="79"/>
    </row>
    <row r="48" spans="1:16" ht="12" thickBot="1" x14ac:dyDescent="0.25">
      <c r="A48" s="800"/>
      <c r="B48" s="795"/>
      <c r="C48" s="360">
        <f>SUM(C42+C43+C46+C47+C45+C44)</f>
        <v>553382.03000000014</v>
      </c>
      <c r="D48" s="361">
        <f>SUM(D42:D47)</f>
        <v>21213.69</v>
      </c>
      <c r="E48" s="361">
        <f>SUM(E42:E47)</f>
        <v>29956.720000000001</v>
      </c>
      <c r="F48" s="346">
        <f t="shared" si="4"/>
        <v>544639.00000000012</v>
      </c>
      <c r="G48" s="440"/>
      <c r="H48" s="331"/>
      <c r="I48" s="79"/>
      <c r="J48" s="266"/>
    </row>
    <row r="49" spans="1:16" x14ac:dyDescent="0.2">
      <c r="A49" s="443"/>
      <c r="B49" s="438"/>
      <c r="C49" s="440">
        <f>C37-C48</f>
        <v>-1371.8900000001304</v>
      </c>
      <c r="D49" s="440"/>
      <c r="E49" s="440"/>
      <c r="F49" s="440">
        <f>F37-F48</f>
        <v>-1372.0000000001164</v>
      </c>
      <c r="H49" s="440"/>
      <c r="I49" s="331"/>
      <c r="J49" s="331"/>
      <c r="K49" s="266"/>
    </row>
    <row r="50" spans="1:16" x14ac:dyDescent="0.2">
      <c r="B50" s="340"/>
      <c r="C50" s="440"/>
      <c r="D50" s="440"/>
      <c r="E50" s="440"/>
      <c r="F50" s="440"/>
      <c r="G50" s="440"/>
      <c r="H50" s="440"/>
      <c r="I50" s="331"/>
    </row>
    <row r="51" spans="1:16" x14ac:dyDescent="0.2">
      <c r="A51" s="801" t="s">
        <v>17</v>
      </c>
      <c r="B51" s="801"/>
      <c r="C51" s="801"/>
      <c r="D51" s="801"/>
      <c r="E51" s="802" t="s">
        <v>18</v>
      </c>
      <c r="F51" s="802"/>
      <c r="G51" s="440"/>
      <c r="H51" s="440"/>
      <c r="J51" s="331"/>
    </row>
    <row r="52" spans="1:16" x14ac:dyDescent="0.2">
      <c r="C52" s="440"/>
      <c r="D52" s="440"/>
      <c r="E52" s="440"/>
      <c r="F52" s="440"/>
      <c r="G52" s="440"/>
      <c r="H52" s="440"/>
    </row>
    <row r="53" spans="1:16" x14ac:dyDescent="0.2">
      <c r="A53" s="801" t="s">
        <v>19</v>
      </c>
      <c r="B53" s="801"/>
      <c r="C53" s="801"/>
      <c r="D53" s="801"/>
      <c r="E53" s="802" t="s">
        <v>18</v>
      </c>
      <c r="F53" s="802"/>
      <c r="G53" s="440"/>
      <c r="H53" s="440"/>
    </row>
    <row r="54" spans="1:16" x14ac:dyDescent="0.2">
      <c r="A54" s="443"/>
      <c r="B54" s="438"/>
      <c r="C54" s="266"/>
      <c r="D54" s="266"/>
      <c r="E54" s="266"/>
      <c r="F54" s="79"/>
      <c r="G54" s="266"/>
      <c r="H54" s="266"/>
      <c r="I54" s="331"/>
      <c r="J54" s="79"/>
      <c r="P54" s="364"/>
    </row>
    <row r="55" spans="1:16" x14ac:dyDescent="0.2">
      <c r="B55" s="340"/>
      <c r="C55" s="331"/>
      <c r="D55" s="331"/>
      <c r="E55" s="331"/>
      <c r="F55" s="331"/>
      <c r="I55" s="331"/>
      <c r="J55" s="343"/>
      <c r="L55" s="266"/>
      <c r="P55" s="364"/>
    </row>
    <row r="56" spans="1:16" x14ac:dyDescent="0.2">
      <c r="B56" s="340"/>
      <c r="C56" s="79"/>
      <c r="D56" s="331"/>
      <c r="F56" s="331"/>
      <c r="J56" s="331"/>
    </row>
  </sheetData>
  <mergeCells count="17">
    <mergeCell ref="A48:B48"/>
    <mergeCell ref="A51:D51"/>
    <mergeCell ref="E51:F51"/>
    <mergeCell ref="A53:D53"/>
    <mergeCell ref="E53:F53"/>
    <mergeCell ref="A46:B46"/>
    <mergeCell ref="A2:G2"/>
    <mergeCell ref="A3:G3"/>
    <mergeCell ref="A5:B5"/>
    <mergeCell ref="A6:B6"/>
    <mergeCell ref="A17:B17"/>
    <mergeCell ref="A23:B23"/>
    <mergeCell ref="A32:B32"/>
    <mergeCell ref="A37:B37"/>
    <mergeCell ref="A41:B41"/>
    <mergeCell ref="A42:B42"/>
    <mergeCell ref="A43:B43"/>
  </mergeCells>
  <pageMargins left="0.7" right="0.7" top="0.75" bottom="0.75" header="0.3" footer="0.3"/>
  <pageSetup scale="91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2"/>
  <sheetViews>
    <sheetView topLeftCell="A2" zoomScaleNormal="100" workbookViewId="0">
      <selection activeCell="D12" sqref="D12"/>
    </sheetView>
  </sheetViews>
  <sheetFormatPr defaultColWidth="9.140625" defaultRowHeight="15" x14ac:dyDescent="0.25"/>
  <cols>
    <col min="1" max="1" width="9.140625" customWidth="1"/>
    <col min="2" max="2" width="5.7109375" customWidth="1"/>
    <col min="3" max="3" width="33.85546875" bestFit="1" customWidth="1"/>
    <col min="4" max="4" width="13.85546875" customWidth="1"/>
    <col min="5" max="5" width="12.5703125" customWidth="1"/>
    <col min="6" max="6" width="15.28515625" customWidth="1"/>
    <col min="7" max="8" width="12.5703125" customWidth="1"/>
    <col min="9" max="9" width="30.28515625" bestFit="1" customWidth="1"/>
    <col min="10" max="10" width="15.85546875" bestFit="1" customWidth="1"/>
    <col min="11" max="11" width="14.5703125" customWidth="1"/>
    <col min="12" max="12" width="11.28515625" customWidth="1"/>
    <col min="17" max="17" width="13" customWidth="1"/>
  </cols>
  <sheetData>
    <row r="1" spans="1:19" hidden="1" x14ac:dyDescent="0.25"/>
    <row r="2" spans="1:19" ht="21" x14ac:dyDescent="0.35">
      <c r="B2" s="771" t="s">
        <v>0</v>
      </c>
      <c r="C2" s="771"/>
      <c r="D2" s="771"/>
      <c r="E2" s="771"/>
      <c r="F2" s="771"/>
      <c r="G2" s="771"/>
      <c r="H2" s="771"/>
      <c r="I2" s="82"/>
    </row>
    <row r="3" spans="1:19" ht="18.75" x14ac:dyDescent="0.3">
      <c r="B3" s="772" t="s">
        <v>56</v>
      </c>
      <c r="C3" s="772"/>
      <c r="D3" s="772"/>
      <c r="E3" s="772"/>
      <c r="F3" s="772"/>
      <c r="G3" s="772"/>
      <c r="H3" s="772"/>
      <c r="I3" s="83"/>
    </row>
    <row r="4" spans="1:19" ht="15.75" thickBot="1" x14ac:dyDescent="0.3">
      <c r="B4" s="1"/>
      <c r="C4" s="51" t="s">
        <v>37</v>
      </c>
      <c r="D4" s="1"/>
      <c r="E4" s="1"/>
      <c r="F4" s="1"/>
      <c r="G4" s="2"/>
      <c r="J4" s="88"/>
    </row>
    <row r="5" spans="1:19" x14ac:dyDescent="0.25">
      <c r="B5" s="773" t="s">
        <v>1</v>
      </c>
      <c r="C5" s="774"/>
      <c r="D5" s="24" t="s">
        <v>2</v>
      </c>
      <c r="E5" s="24" t="s">
        <v>3</v>
      </c>
      <c r="F5" s="24" t="s">
        <v>4</v>
      </c>
      <c r="G5" s="24" t="s">
        <v>5</v>
      </c>
      <c r="H5" s="24" t="s">
        <v>6</v>
      </c>
      <c r="I5" s="50"/>
      <c r="J5" s="50"/>
    </row>
    <row r="6" spans="1:19" x14ac:dyDescent="0.25">
      <c r="B6" s="775" t="s">
        <v>7</v>
      </c>
      <c r="C6" s="776"/>
      <c r="D6" s="25">
        <f>SUM(D7:D16)</f>
        <v>115998.40000000001</v>
      </c>
      <c r="E6" s="62">
        <f>SUM(E7:E16)</f>
        <v>4211.3100000000004</v>
      </c>
      <c r="F6" s="62">
        <f>SUM(F7:F16)</f>
        <v>34326.71</v>
      </c>
      <c r="G6" s="62">
        <f>SUM(G7:G16)</f>
        <v>85883</v>
      </c>
      <c r="H6" s="63">
        <f>SUM(H7:H15)</f>
        <v>0</v>
      </c>
      <c r="I6" s="73"/>
      <c r="J6" s="73"/>
      <c r="K6" s="72"/>
      <c r="L6" s="23"/>
      <c r="Q6" s="23"/>
      <c r="S6" s="23"/>
    </row>
    <row r="7" spans="1:19" ht="15.75" customHeight="1" x14ac:dyDescent="0.25">
      <c r="B7" s="11"/>
      <c r="C7" s="22" t="s">
        <v>23</v>
      </c>
      <c r="D7" s="122">
        <f>119142.44-234</f>
        <v>118908.44</v>
      </c>
      <c r="E7" s="67">
        <v>234</v>
      </c>
      <c r="F7" s="67">
        <f>1865.52+3116.64+5750.44+22602.36-154.64</f>
        <v>33180.32</v>
      </c>
      <c r="G7" s="89">
        <f>D7+E7-F7</f>
        <v>85962.12</v>
      </c>
      <c r="H7" s="110"/>
      <c r="I7" s="125" t="s">
        <v>59</v>
      </c>
      <c r="J7" s="23"/>
    </row>
    <row r="8" spans="1:19" hidden="1" x14ac:dyDescent="0.25">
      <c r="B8" s="12"/>
      <c r="C8" s="52" t="s">
        <v>30</v>
      </c>
      <c r="D8" s="39">
        <f>'December 2019'!G8</f>
        <v>0</v>
      </c>
      <c r="E8" s="27"/>
      <c r="F8" s="27"/>
      <c r="G8" s="89">
        <f t="shared" ref="G8:G16" si="0">D8+E8-F8</f>
        <v>0</v>
      </c>
      <c r="H8" s="110"/>
      <c r="I8" s="73"/>
      <c r="J8" s="71" t="s">
        <v>51</v>
      </c>
      <c r="K8" t="s">
        <v>52</v>
      </c>
    </row>
    <row r="9" spans="1:19" hidden="1" x14ac:dyDescent="0.25">
      <c r="B9" s="12"/>
      <c r="C9" s="53" t="s">
        <v>31</v>
      </c>
      <c r="D9" s="39">
        <f>'December 2019'!G9</f>
        <v>0</v>
      </c>
      <c r="E9" s="27"/>
      <c r="F9" s="27"/>
      <c r="G9" s="89">
        <f t="shared" si="0"/>
        <v>0</v>
      </c>
      <c r="H9" s="110"/>
      <c r="I9" s="73"/>
      <c r="J9" s="71">
        <v>3231.47</v>
      </c>
      <c r="K9" s="23"/>
    </row>
    <row r="10" spans="1:19" x14ac:dyDescent="0.25">
      <c r="B10" s="12"/>
      <c r="C10" s="53" t="s">
        <v>41</v>
      </c>
      <c r="D10" s="140">
        <f>'December 2019'!G10+0.01</f>
        <v>-841.74000000000012</v>
      </c>
      <c r="E10" s="27"/>
      <c r="F10" s="123">
        <v>309.76</v>
      </c>
      <c r="G10" s="118">
        <f t="shared" si="0"/>
        <v>-1151.5</v>
      </c>
      <c r="H10" s="110"/>
      <c r="I10" s="73"/>
      <c r="J10" s="93"/>
      <c r="K10" s="23"/>
    </row>
    <row r="11" spans="1:19" hidden="1" x14ac:dyDescent="0.25">
      <c r="B11" s="12"/>
      <c r="C11" s="53" t="s">
        <v>29</v>
      </c>
      <c r="D11" s="39">
        <f>'December 2019'!G11</f>
        <v>0</v>
      </c>
      <c r="E11" s="70"/>
      <c r="F11" s="70"/>
      <c r="G11" s="89">
        <f t="shared" si="0"/>
        <v>0</v>
      </c>
      <c r="H11" s="110"/>
      <c r="I11" s="73"/>
      <c r="J11" s="93"/>
    </row>
    <row r="12" spans="1:19" x14ac:dyDescent="0.25">
      <c r="B12" s="12"/>
      <c r="C12" s="53" t="s">
        <v>20</v>
      </c>
      <c r="D12" s="122">
        <f>'December 2019'!G12</f>
        <v>211.66000000000008</v>
      </c>
      <c r="E12" s="123">
        <v>1640.25</v>
      </c>
      <c r="F12" s="123">
        <f>486.81</f>
        <v>486.81</v>
      </c>
      <c r="G12" s="118">
        <f t="shared" si="0"/>
        <v>1365.1000000000001</v>
      </c>
      <c r="H12" s="110"/>
      <c r="I12" s="73"/>
      <c r="J12" s="23"/>
    </row>
    <row r="13" spans="1:19" x14ac:dyDescent="0.25">
      <c r="B13" s="12"/>
      <c r="C13" s="53" t="s">
        <v>22</v>
      </c>
      <c r="D13" s="122">
        <f>'December 2019'!G13</f>
        <v>18.55</v>
      </c>
      <c r="E13" s="123">
        <v>102.65</v>
      </c>
      <c r="F13" s="123">
        <v>20</v>
      </c>
      <c r="G13" s="118">
        <f t="shared" si="0"/>
        <v>101.2</v>
      </c>
      <c r="H13" s="110"/>
      <c r="I13" s="73"/>
      <c r="J13" s="23"/>
    </row>
    <row r="14" spans="1:19" x14ac:dyDescent="0.25">
      <c r="B14" s="12"/>
      <c r="C14" s="53" t="s">
        <v>28</v>
      </c>
      <c r="D14" s="140">
        <f>'December 2019'!G14</f>
        <v>-1025.4000000000001</v>
      </c>
      <c r="E14" s="123">
        <v>1018.65</v>
      </c>
      <c r="F14" s="123">
        <v>329.82</v>
      </c>
      <c r="G14" s="118">
        <f t="shared" si="0"/>
        <v>-336.57000000000011</v>
      </c>
      <c r="H14" s="110"/>
      <c r="I14" s="73"/>
      <c r="J14" s="23"/>
    </row>
    <row r="15" spans="1:19" x14ac:dyDescent="0.25">
      <c r="A15" t="s">
        <v>26</v>
      </c>
      <c r="B15" s="12"/>
      <c r="C15" s="18" t="s">
        <v>42</v>
      </c>
      <c r="D15" s="140">
        <f>'December 2019'!G15</f>
        <v>34.660000000000025</v>
      </c>
      <c r="E15" s="27"/>
      <c r="F15" s="27"/>
      <c r="G15" s="118">
        <f t="shared" si="0"/>
        <v>34.660000000000025</v>
      </c>
      <c r="H15" s="110"/>
      <c r="I15" s="73"/>
      <c r="J15" s="23"/>
    </row>
    <row r="16" spans="1:19" x14ac:dyDescent="0.25">
      <c r="B16" s="12"/>
      <c r="C16" s="18" t="s">
        <v>43</v>
      </c>
      <c r="D16" s="140">
        <f>'December 2019'!G16</f>
        <v>-1307.7700000000002</v>
      </c>
      <c r="E16" s="27">
        <v>1215.76</v>
      </c>
      <c r="F16" s="27"/>
      <c r="G16" s="118">
        <f t="shared" si="0"/>
        <v>-92.010000000000218</v>
      </c>
      <c r="H16" s="110"/>
      <c r="I16" s="73"/>
      <c r="J16" s="73"/>
      <c r="Q16" s="23"/>
    </row>
    <row r="17" spans="2:17" x14ac:dyDescent="0.25">
      <c r="B17" s="777" t="s">
        <v>53</v>
      </c>
      <c r="C17" s="778"/>
      <c r="D17" s="141">
        <f>SUM(D18:D21)</f>
        <v>-14345.49</v>
      </c>
      <c r="E17" s="107">
        <f>SUM(E18:E21)</f>
        <v>12889.32</v>
      </c>
      <c r="F17" s="107">
        <f>SUM(F18:F21)</f>
        <v>2326.42</v>
      </c>
      <c r="G17" s="108">
        <f>SUM(G21,G20,G19,G18)</f>
        <v>-3782.59</v>
      </c>
      <c r="H17" s="97"/>
      <c r="I17" s="73"/>
      <c r="J17" s="73"/>
      <c r="Q17" s="23"/>
    </row>
    <row r="18" spans="2:17" x14ac:dyDescent="0.25">
      <c r="B18" s="13"/>
      <c r="C18" s="40" t="s">
        <v>9</v>
      </c>
      <c r="D18" s="140">
        <v>-1742.32</v>
      </c>
      <c r="E18" s="124">
        <v>1742.32</v>
      </c>
      <c r="F18" s="28"/>
      <c r="G18" s="109">
        <f>D18+E18-F18</f>
        <v>0</v>
      </c>
      <c r="H18" s="27"/>
      <c r="I18" s="73"/>
      <c r="J18" s="23"/>
      <c r="K18" s="4">
        <f>I18+H18</f>
        <v>0</v>
      </c>
    </row>
    <row r="19" spans="2:17" x14ac:dyDescent="0.25">
      <c r="B19" s="12"/>
      <c r="C19" s="55" t="s">
        <v>8</v>
      </c>
      <c r="D19" s="140">
        <f>'December 2019'!G19</f>
        <v>-4103.17</v>
      </c>
      <c r="E19" s="123">
        <v>2647</v>
      </c>
      <c r="F19" s="123">
        <v>1701.55</v>
      </c>
      <c r="G19" s="120">
        <f>D19+E19-F19</f>
        <v>-3157.7200000000003</v>
      </c>
      <c r="H19" s="76"/>
      <c r="I19" s="73"/>
      <c r="J19" s="23"/>
    </row>
    <row r="20" spans="2:17" x14ac:dyDescent="0.25">
      <c r="B20" s="12"/>
      <c r="C20" s="55" t="s">
        <v>32</v>
      </c>
      <c r="D20" s="122">
        <v>0</v>
      </c>
      <c r="E20" s="27"/>
      <c r="F20" s="123">
        <v>292.49</v>
      </c>
      <c r="G20" s="120">
        <f t="shared" ref="G20:G21" si="1">D20+E20-F20</f>
        <v>-292.49</v>
      </c>
      <c r="H20" s="75"/>
      <c r="I20" s="73"/>
      <c r="J20" s="23"/>
    </row>
    <row r="21" spans="2:17" x14ac:dyDescent="0.25">
      <c r="B21" s="10"/>
      <c r="C21" s="41" t="s">
        <v>38</v>
      </c>
      <c r="D21" s="140">
        <v>-8500</v>
      </c>
      <c r="E21" s="103">
        <v>8500</v>
      </c>
      <c r="F21" s="103">
        <v>332.38</v>
      </c>
      <c r="G21" s="120">
        <f t="shared" si="1"/>
        <v>-332.38</v>
      </c>
      <c r="H21" s="27"/>
      <c r="I21" s="73"/>
      <c r="J21" s="23"/>
      <c r="K21" s="4"/>
    </row>
    <row r="22" spans="2:17" x14ac:dyDescent="0.25">
      <c r="B22" s="775" t="s">
        <v>10</v>
      </c>
      <c r="C22" s="776"/>
      <c r="D22" s="141">
        <f>SUM(D23:D27)</f>
        <v>197476.93</v>
      </c>
      <c r="E22" s="111">
        <f>SUM(E23:E27)</f>
        <v>0</v>
      </c>
      <c r="F22" s="111">
        <f>SUM(F23:F27)</f>
        <v>10225.66</v>
      </c>
      <c r="G22" s="111">
        <f>SUM(G23:G27)</f>
        <v>187251.27</v>
      </c>
      <c r="H22" s="112">
        <f>SUM(H27:H31)</f>
        <v>0</v>
      </c>
      <c r="I22" s="73"/>
      <c r="J22" s="73"/>
      <c r="Q22" s="23"/>
    </row>
    <row r="23" spans="2:17" x14ac:dyDescent="0.25">
      <c r="B23" s="13"/>
      <c r="C23" s="37" t="s">
        <v>55</v>
      </c>
      <c r="D23" s="140">
        <f>'December 2019'!G23</f>
        <v>18710</v>
      </c>
      <c r="E23" s="26"/>
      <c r="F23" s="26"/>
      <c r="G23" s="121">
        <f>D23+E23-F23</f>
        <v>18710</v>
      </c>
      <c r="H23" s="66"/>
      <c r="I23" s="73"/>
      <c r="J23" s="23"/>
      <c r="K23" s="5"/>
    </row>
    <row r="24" spans="2:17" x14ac:dyDescent="0.25">
      <c r="B24" s="11"/>
      <c r="C24" s="19" t="s">
        <v>34</v>
      </c>
      <c r="D24" s="140">
        <v>76471</v>
      </c>
      <c r="E24" s="28"/>
      <c r="F24" s="103">
        <v>10179.01</v>
      </c>
      <c r="G24" s="121">
        <f t="shared" ref="G24:G27" si="2">D24+E24-F24</f>
        <v>66291.990000000005</v>
      </c>
      <c r="H24" s="77"/>
      <c r="I24" s="74"/>
      <c r="J24" s="23"/>
      <c r="K24" s="23"/>
    </row>
    <row r="25" spans="2:17" x14ac:dyDescent="0.25">
      <c r="B25" s="11"/>
      <c r="C25" s="19" t="s">
        <v>39</v>
      </c>
      <c r="D25" s="140">
        <v>102500</v>
      </c>
      <c r="E25" s="28"/>
      <c r="F25" s="28"/>
      <c r="G25" s="121">
        <f t="shared" si="2"/>
        <v>102500</v>
      </c>
      <c r="H25" s="77"/>
      <c r="I25" s="74"/>
      <c r="J25" s="23"/>
      <c r="K25" s="23"/>
    </row>
    <row r="26" spans="2:17" x14ac:dyDescent="0.25">
      <c r="B26" s="11"/>
      <c r="C26" s="19" t="s">
        <v>49</v>
      </c>
      <c r="D26" s="39">
        <f>'December 2019'!G26</f>
        <v>0</v>
      </c>
      <c r="E26" s="28"/>
      <c r="F26" s="28"/>
      <c r="G26" s="69">
        <f t="shared" si="2"/>
        <v>0</v>
      </c>
      <c r="H26" s="77"/>
      <c r="I26" s="74"/>
      <c r="J26" s="23"/>
      <c r="K26" s="23"/>
    </row>
    <row r="27" spans="2:17" x14ac:dyDescent="0.25">
      <c r="B27" s="10"/>
      <c r="C27" s="18" t="s">
        <v>44</v>
      </c>
      <c r="D27" s="140">
        <f>'December 2019'!G27</f>
        <v>-204.07</v>
      </c>
      <c r="E27" s="28"/>
      <c r="F27" s="103">
        <v>46.65</v>
      </c>
      <c r="G27" s="121">
        <f t="shared" si="2"/>
        <v>-250.72</v>
      </c>
      <c r="H27" s="27"/>
      <c r="I27" s="73"/>
      <c r="J27" s="23"/>
      <c r="K27" s="5"/>
    </row>
    <row r="28" spans="2:17" x14ac:dyDescent="0.25">
      <c r="B28" s="775" t="s">
        <v>35</v>
      </c>
      <c r="C28" s="776"/>
      <c r="D28" s="141">
        <f>SUM(D29:D32)</f>
        <v>43986.71</v>
      </c>
      <c r="E28" s="111">
        <f>SUM(E29:E32)</f>
        <v>0</v>
      </c>
      <c r="F28" s="111">
        <f>SUM(F29:F32)</f>
        <v>1440.6</v>
      </c>
      <c r="G28" s="111">
        <f>SUM(G29:G32)</f>
        <v>42546.11</v>
      </c>
      <c r="H28" s="112">
        <f t="shared" ref="H28" si="3">SUM(H29:H31)</f>
        <v>0</v>
      </c>
      <c r="I28" s="73"/>
      <c r="J28" s="73"/>
      <c r="Q28" s="23"/>
    </row>
    <row r="29" spans="2:17" x14ac:dyDescent="0.25">
      <c r="B29" s="10"/>
      <c r="C29" s="18" t="s">
        <v>48</v>
      </c>
      <c r="D29" s="140">
        <v>27477.38</v>
      </c>
      <c r="E29" s="28"/>
      <c r="F29" s="113"/>
      <c r="G29" s="119">
        <f t="shared" ref="G29:G32" si="4">D29+E29-F29</f>
        <v>27477.38</v>
      </c>
      <c r="H29" s="27"/>
      <c r="I29" s="73"/>
      <c r="J29" s="23"/>
      <c r="K29" s="5"/>
    </row>
    <row r="30" spans="2:17" x14ac:dyDescent="0.25">
      <c r="B30" s="10"/>
      <c r="C30" s="20" t="s">
        <v>45</v>
      </c>
      <c r="D30" s="140">
        <v>15175.33</v>
      </c>
      <c r="E30" s="28"/>
      <c r="F30" s="103">
        <v>106.6</v>
      </c>
      <c r="G30" s="119">
        <f t="shared" si="4"/>
        <v>15068.73</v>
      </c>
      <c r="H30" s="27"/>
      <c r="I30" s="73"/>
      <c r="J30" s="93"/>
      <c r="K30" s="3"/>
    </row>
    <row r="31" spans="2:17" x14ac:dyDescent="0.25">
      <c r="B31" s="10"/>
      <c r="C31" s="21" t="s">
        <v>33</v>
      </c>
      <c r="D31" s="140">
        <f>'December 2019'!G31</f>
        <v>1334</v>
      </c>
      <c r="E31" s="28"/>
      <c r="F31" s="103">
        <v>1334</v>
      </c>
      <c r="G31" s="119">
        <f t="shared" si="4"/>
        <v>0</v>
      </c>
      <c r="H31" s="27"/>
      <c r="I31" s="73"/>
      <c r="J31" s="23"/>
      <c r="K31" s="4"/>
      <c r="Q31" s="71"/>
    </row>
    <row r="32" spans="2:17" ht="15.75" thickBot="1" x14ac:dyDescent="0.3">
      <c r="C32" s="104" t="s">
        <v>47</v>
      </c>
      <c r="D32" s="39">
        <f>'December 2019'!G32</f>
        <v>0</v>
      </c>
      <c r="E32" s="28"/>
      <c r="F32" s="68"/>
      <c r="G32" s="68">
        <f t="shared" si="4"/>
        <v>0</v>
      </c>
      <c r="H32" s="27"/>
      <c r="I32" s="73"/>
      <c r="J32" s="23"/>
      <c r="K32" s="4"/>
      <c r="Q32" s="71"/>
    </row>
    <row r="33" spans="2:17" ht="15.75" thickBot="1" x14ac:dyDescent="0.3">
      <c r="B33" s="779" t="s">
        <v>11</v>
      </c>
      <c r="C33" s="766"/>
      <c r="D33" s="38">
        <f>D6+D17+D22+D28</f>
        <v>343116.55</v>
      </c>
      <c r="E33" s="47">
        <f>SUM(E22,E17,E6,E28)</f>
        <v>17100.63</v>
      </c>
      <c r="F33" s="43">
        <f>SUM(F22,F17,F6,F28)</f>
        <v>48319.39</v>
      </c>
      <c r="G33" s="44">
        <f>SUM(G22,G17,G6,G28)</f>
        <v>311897.78999999998</v>
      </c>
      <c r="H33" s="78">
        <f>SUM(H6,H16,H22,H28)</f>
        <v>0</v>
      </c>
      <c r="I33" s="23"/>
      <c r="J33" s="23"/>
      <c r="K33" s="6"/>
    </row>
    <row r="34" spans="2:17" hidden="1" x14ac:dyDescent="0.25">
      <c r="B34" s="84"/>
      <c r="C34" s="85"/>
      <c r="D34" s="23">
        <f>SUM(D17:D21)</f>
        <v>-28690.98</v>
      </c>
      <c r="E34" s="23"/>
      <c r="F34" s="23"/>
      <c r="G34" s="23"/>
      <c r="H34" s="49"/>
      <c r="I34" s="23"/>
      <c r="L34" t="s">
        <v>12</v>
      </c>
      <c r="M34">
        <v>42.43</v>
      </c>
    </row>
    <row r="35" spans="2:17" ht="15.75" hidden="1" thickBot="1" x14ac:dyDescent="0.3">
      <c r="B35" s="9" t="s">
        <v>25</v>
      </c>
      <c r="C35" s="15"/>
      <c r="D35" s="33" t="e">
        <f>SUM(D33,#REF!)</f>
        <v>#REF!</v>
      </c>
      <c r="E35" s="34" t="e">
        <f>SUM(E33,#REF!)</f>
        <v>#REF!</v>
      </c>
      <c r="F35" s="34" t="e">
        <f>SUM(F33,#REF!)</f>
        <v>#REF!</v>
      </c>
      <c r="G35" s="35" t="e">
        <f>SUM(G33,#REF!)</f>
        <v>#REF!</v>
      </c>
      <c r="H35" s="49"/>
      <c r="I35" s="23"/>
      <c r="J35" s="6"/>
      <c r="K35" s="4">
        <v>206730.35</v>
      </c>
    </row>
    <row r="36" spans="2:17" ht="15.75" thickBot="1" x14ac:dyDescent="0.3">
      <c r="C36" s="7"/>
      <c r="D36" s="23"/>
      <c r="E36" s="23"/>
      <c r="F36" s="23"/>
      <c r="G36" s="23"/>
      <c r="H36" s="49"/>
      <c r="I36" s="64"/>
      <c r="J36" s="6"/>
      <c r="K36" s="4"/>
      <c r="Q36" s="23"/>
    </row>
    <row r="37" spans="2:17" ht="15.75" thickBot="1" x14ac:dyDescent="0.3">
      <c r="B37" s="780" t="s">
        <v>13</v>
      </c>
      <c r="C37" s="781"/>
      <c r="D37" s="31" t="s">
        <v>2</v>
      </c>
      <c r="E37" s="31" t="s">
        <v>3</v>
      </c>
      <c r="F37" s="31" t="s">
        <v>24</v>
      </c>
      <c r="G37" s="31" t="s">
        <v>27</v>
      </c>
      <c r="H37" s="31" t="s">
        <v>5</v>
      </c>
      <c r="I37" s="50"/>
      <c r="J37" s="6"/>
      <c r="K37" s="8"/>
    </row>
    <row r="38" spans="2:17" ht="15.75" thickBot="1" x14ac:dyDescent="0.3">
      <c r="B38" s="769" t="s">
        <v>14</v>
      </c>
      <c r="C38" s="770"/>
      <c r="D38" s="32">
        <f>'December 2019'!H38</f>
        <v>128.27000000000001</v>
      </c>
      <c r="E38" s="57"/>
      <c r="F38" s="57"/>
      <c r="G38" s="57">
        <v>25.46</v>
      </c>
      <c r="H38" s="114">
        <f t="shared" ref="H38:H40" si="5">D38+E38+F38-G38</f>
        <v>102.81</v>
      </c>
      <c r="I38" s="23"/>
      <c r="K38" s="6"/>
      <c r="L38" s="4"/>
    </row>
    <row r="39" spans="2:17" ht="15.75" thickBot="1" x14ac:dyDescent="0.3">
      <c r="B39" s="782" t="s">
        <v>15</v>
      </c>
      <c r="C39" s="783"/>
      <c r="D39" s="32">
        <f>'December 2019'!H39</f>
        <v>11651.910000000009</v>
      </c>
      <c r="E39" s="59"/>
      <c r="F39" s="59">
        <v>23000</v>
      </c>
      <c r="G39" s="59">
        <v>27379.32</v>
      </c>
      <c r="H39" s="115">
        <f>D39+E39+F39-G39</f>
        <v>7272.5900000000111</v>
      </c>
      <c r="I39" s="23"/>
      <c r="J39" s="65"/>
      <c r="K39" s="6"/>
    </row>
    <row r="40" spans="2:17" ht="15.75" thickBot="1" x14ac:dyDescent="0.3">
      <c r="B40" s="14"/>
      <c r="C40" s="16" t="s">
        <v>21</v>
      </c>
      <c r="D40" s="32">
        <f>'December 2019'!H40</f>
        <v>0</v>
      </c>
      <c r="E40" s="56"/>
      <c r="F40" s="56"/>
      <c r="G40" s="56"/>
      <c r="H40" s="56">
        <f t="shared" si="5"/>
        <v>0</v>
      </c>
      <c r="I40" s="23"/>
      <c r="J40" s="65"/>
      <c r="K40" s="4"/>
    </row>
    <row r="41" spans="2:17" ht="15.75" thickBot="1" x14ac:dyDescent="0.3">
      <c r="B41" s="14"/>
      <c r="C41" s="16" t="s">
        <v>40</v>
      </c>
      <c r="D41" s="32">
        <f>'December 2019'!H41</f>
        <v>-4301.3200000000006</v>
      </c>
      <c r="E41" s="56">
        <f>4448.17</f>
        <v>4448.17</v>
      </c>
      <c r="F41" s="56"/>
      <c r="G41" s="56">
        <f>7022.54+374.22</f>
        <v>7396.76</v>
      </c>
      <c r="H41" s="60">
        <f>D41+E41+F41-G41</f>
        <v>-7249.9100000000008</v>
      </c>
      <c r="I41" s="23"/>
      <c r="J41" s="4"/>
      <c r="K41" s="4"/>
    </row>
    <row r="42" spans="2:17" ht="15.75" thickBot="1" x14ac:dyDescent="0.3">
      <c r="B42" s="769" t="s">
        <v>16</v>
      </c>
      <c r="C42" s="770"/>
      <c r="D42" s="32">
        <f>'December 2019'!H42</f>
        <v>174884.02000000008</v>
      </c>
      <c r="E42" s="61">
        <v>82.31</v>
      </c>
      <c r="F42" s="61"/>
      <c r="G42" s="61">
        <v>23000</v>
      </c>
      <c r="H42" s="116">
        <f>D42+E42-F42-G42</f>
        <v>151966.33000000007</v>
      </c>
      <c r="I42" s="23"/>
      <c r="J42" s="4"/>
      <c r="K42" s="4"/>
    </row>
    <row r="43" spans="2:17" ht="15.75" thickBot="1" x14ac:dyDescent="0.3">
      <c r="B43" s="80" t="s">
        <v>46</v>
      </c>
      <c r="C43" s="81"/>
      <c r="D43" s="32">
        <f>'December 2019'!H43</f>
        <v>160753.68</v>
      </c>
      <c r="E43" s="28">
        <v>52.28</v>
      </c>
      <c r="F43" s="28">
        <v>12500</v>
      </c>
      <c r="G43" s="28">
        <f>12500+1000</f>
        <v>13500</v>
      </c>
      <c r="H43" s="117">
        <f>D43+E43+F43-G43</f>
        <v>159805.96</v>
      </c>
      <c r="I43" s="23" t="s">
        <v>54</v>
      </c>
      <c r="J43" s="4"/>
      <c r="K43" s="4"/>
    </row>
    <row r="44" spans="2:17" ht="15.75" thickBot="1" x14ac:dyDescent="0.3">
      <c r="B44" s="765"/>
      <c r="C44" s="766"/>
      <c r="D44" s="29">
        <f>SUM(D38+D39+D42+D43+D41)</f>
        <v>343116.56000000011</v>
      </c>
      <c r="E44" s="46">
        <f>SUM(E38:E43)</f>
        <v>4582.76</v>
      </c>
      <c r="F44" s="30">
        <f>SUM(F39:F43)</f>
        <v>35500</v>
      </c>
      <c r="G44" s="42">
        <f>SUM(G38:G43)</f>
        <v>71301.540000000008</v>
      </c>
      <c r="H44" s="45">
        <f>SUM(H38+H39+H42+H40+H43+H41)</f>
        <v>311897.78000000009</v>
      </c>
      <c r="I44" s="23"/>
      <c r="J44" s="6"/>
      <c r="K44" s="4"/>
      <c r="L44" s="3"/>
    </row>
    <row r="45" spans="2:17" x14ac:dyDescent="0.25">
      <c r="B45" s="84"/>
      <c r="C45" s="85"/>
      <c r="D45" s="23">
        <f>D44-D33</f>
        <v>1.0000000125728548E-2</v>
      </c>
      <c r="E45" s="23"/>
      <c r="F45" s="23"/>
      <c r="G45" s="23"/>
      <c r="H45" s="23">
        <f>G33-H44</f>
        <v>9.9999998928979039E-3</v>
      </c>
      <c r="I45" s="23"/>
      <c r="J45" s="6"/>
      <c r="K45" s="6"/>
      <c r="L45" s="3"/>
    </row>
    <row r="46" spans="2:17" x14ac:dyDescent="0.25">
      <c r="C46" s="7"/>
      <c r="D46" s="23"/>
      <c r="E46" s="23"/>
      <c r="F46" s="23"/>
      <c r="G46" s="23"/>
      <c r="H46" s="23"/>
      <c r="I46" s="23"/>
      <c r="J46" s="6"/>
    </row>
    <row r="47" spans="2:17" ht="15.75" x14ac:dyDescent="0.25">
      <c r="B47" s="767" t="s">
        <v>17</v>
      </c>
      <c r="C47" s="767"/>
      <c r="D47" s="767"/>
      <c r="E47" s="767"/>
      <c r="F47" s="768" t="s">
        <v>18</v>
      </c>
      <c r="G47" s="768"/>
      <c r="H47" s="23"/>
      <c r="I47" s="23"/>
      <c r="K47" s="6"/>
    </row>
    <row r="48" spans="2:17" ht="15.75" x14ac:dyDescent="0.25">
      <c r="B48" s="86"/>
      <c r="C48" s="86"/>
      <c r="D48" s="87"/>
      <c r="E48" s="87"/>
      <c r="F48" s="87"/>
      <c r="G48" s="87"/>
      <c r="H48" s="23"/>
      <c r="I48" s="23"/>
    </row>
    <row r="49" spans="2:17" ht="15.75" x14ac:dyDescent="0.25">
      <c r="B49" s="767" t="s">
        <v>19</v>
      </c>
      <c r="C49" s="767"/>
      <c r="D49" s="767"/>
      <c r="E49" s="767"/>
      <c r="F49" s="768" t="s">
        <v>18</v>
      </c>
      <c r="G49" s="768"/>
      <c r="H49" s="23"/>
      <c r="I49" s="23"/>
    </row>
    <row r="50" spans="2:17" x14ac:dyDescent="0.25">
      <c r="B50" s="84"/>
      <c r="C50" s="85"/>
      <c r="D50" s="3"/>
      <c r="E50" s="3"/>
      <c r="F50" s="3"/>
      <c r="G50" s="4"/>
      <c r="H50" s="3"/>
      <c r="I50" s="3"/>
      <c r="J50" s="6"/>
      <c r="K50" s="4"/>
      <c r="Q50" s="17"/>
    </row>
    <row r="51" spans="2:17" x14ac:dyDescent="0.25">
      <c r="C51" s="7"/>
      <c r="D51" s="6"/>
      <c r="E51" s="6"/>
      <c r="F51" s="6"/>
      <c r="G51" s="6"/>
      <c r="J51" s="6"/>
      <c r="K51" s="8"/>
      <c r="M51" s="3"/>
      <c r="Q51" s="17"/>
    </row>
    <row r="52" spans="2:17" x14ac:dyDescent="0.25">
      <c r="C52" s="7"/>
      <c r="D52" s="4"/>
      <c r="E52" s="6"/>
      <c r="G52" s="6"/>
      <c r="K52" s="6"/>
    </row>
  </sheetData>
  <mergeCells count="17">
    <mergeCell ref="B22:C22"/>
    <mergeCell ref="B33:C33"/>
    <mergeCell ref="B37:C37"/>
    <mergeCell ref="B38:C38"/>
    <mergeCell ref="B39:C39"/>
    <mergeCell ref="B28:C28"/>
    <mergeCell ref="B2:H2"/>
    <mergeCell ref="B3:H3"/>
    <mergeCell ref="B5:C5"/>
    <mergeCell ref="B6:C6"/>
    <mergeCell ref="B17:C17"/>
    <mergeCell ref="B42:C42"/>
    <mergeCell ref="B44:C44"/>
    <mergeCell ref="B47:E47"/>
    <mergeCell ref="F47:G47"/>
    <mergeCell ref="B49:E49"/>
    <mergeCell ref="F49:G49"/>
  </mergeCells>
  <pageMargins left="0.25" right="0.25" top="0.75" bottom="0.75" header="0.3" footer="0.3"/>
  <pageSetup fitToHeight="0" orientation="portrait" r:id="rId1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5E133-80E5-4899-9B4E-0B7BE85774BC}">
  <dimension ref="A1:R56"/>
  <sheetViews>
    <sheetView topLeftCell="A5" zoomScale="120" zoomScaleNormal="120" workbookViewId="0">
      <selection activeCell="E8" sqref="E8"/>
    </sheetView>
  </sheetViews>
  <sheetFormatPr defaultColWidth="9.140625" defaultRowHeight="11.25" x14ac:dyDescent="0.2"/>
  <cols>
    <col min="1" max="1" width="10.7109375" style="445" customWidth="1"/>
    <col min="2" max="2" width="28.140625" style="445" customWidth="1"/>
    <col min="3" max="3" width="10.5703125" style="445" customWidth="1"/>
    <col min="4" max="4" width="9.42578125" style="445" customWidth="1"/>
    <col min="5" max="5" width="9.140625" style="445"/>
    <col min="6" max="6" width="10.28515625" style="445" customWidth="1"/>
    <col min="7" max="7" width="8.85546875" style="445" customWidth="1"/>
    <col min="8" max="8" width="12.140625" style="445" customWidth="1"/>
    <col min="9" max="9" width="14.7109375" style="445" customWidth="1"/>
    <col min="10" max="10" width="14.5703125" style="445" customWidth="1"/>
    <col min="11" max="11" width="11.28515625" style="445" customWidth="1"/>
    <col min="12" max="15" width="9.140625" style="445"/>
    <col min="16" max="16" width="13" style="445" customWidth="1"/>
    <col min="17" max="16384" width="9.140625" style="445"/>
  </cols>
  <sheetData>
    <row r="1" spans="1:18" hidden="1" x14ac:dyDescent="0.2"/>
    <row r="2" spans="1:18" x14ac:dyDescent="0.2">
      <c r="A2" s="786" t="s">
        <v>0</v>
      </c>
      <c r="B2" s="786"/>
      <c r="C2" s="786"/>
      <c r="D2" s="786"/>
      <c r="E2" s="786"/>
      <c r="F2" s="786"/>
      <c r="G2" s="786"/>
      <c r="H2" s="447"/>
    </row>
    <row r="3" spans="1:18" x14ac:dyDescent="0.2">
      <c r="A3" s="787" t="s">
        <v>109</v>
      </c>
      <c r="B3" s="787"/>
      <c r="C3" s="787"/>
      <c r="D3" s="787"/>
      <c r="E3" s="787"/>
      <c r="F3" s="787"/>
      <c r="G3" s="787"/>
      <c r="H3" s="448"/>
    </row>
    <row r="4" spans="1:18" ht="12" thickBot="1" x14ac:dyDescent="0.25">
      <c r="B4" s="265" t="s">
        <v>37</v>
      </c>
      <c r="F4" s="266"/>
      <c r="I4" s="267"/>
    </row>
    <row r="5" spans="1:18" x14ac:dyDescent="0.2">
      <c r="A5" s="788" t="s">
        <v>1</v>
      </c>
      <c r="B5" s="789"/>
      <c r="C5" s="268" t="s">
        <v>2</v>
      </c>
      <c r="D5" s="268" t="s">
        <v>3</v>
      </c>
      <c r="E5" s="268" t="s">
        <v>58</v>
      </c>
      <c r="F5" s="268" t="s">
        <v>5</v>
      </c>
      <c r="G5" s="268" t="s">
        <v>6</v>
      </c>
      <c r="H5" s="269"/>
      <c r="I5" s="269"/>
    </row>
    <row r="6" spans="1:18" ht="15" x14ac:dyDescent="0.25">
      <c r="A6" s="803" t="s">
        <v>7</v>
      </c>
      <c r="B6" s="804"/>
      <c r="C6" s="270">
        <f>SUM(C7:C16)</f>
        <v>203496.80999999994</v>
      </c>
      <c r="D6" s="271">
        <f>SUM(D7:D16)</f>
        <v>1349.9200000000003</v>
      </c>
      <c r="E6" s="271">
        <f>SUM(E7:E16)</f>
        <v>996.18000000000075</v>
      </c>
      <c r="F6" s="271">
        <f>SUM(F7:F16)</f>
        <v>203850.54999999993</v>
      </c>
      <c r="G6" s="272">
        <f>SUM(G7:G15)</f>
        <v>0</v>
      </c>
      <c r="H6" s="273"/>
      <c r="I6" s="273"/>
      <c r="J6" s="273"/>
      <c r="K6" s="446"/>
      <c r="P6" s="446"/>
      <c r="R6" s="446"/>
    </row>
    <row r="7" spans="1:18" ht="12" customHeight="1" x14ac:dyDescent="0.2">
      <c r="A7" s="275"/>
      <c r="B7" s="276" t="s">
        <v>23</v>
      </c>
      <c r="C7" s="277">
        <f>'March 2022'!F7</f>
        <v>201674.43999999994</v>
      </c>
      <c r="D7" s="278">
        <v>126.72</v>
      </c>
      <c r="E7" s="430">
        <f>1000+2184.62+3761.67+220+100-8192.88</f>
        <v>-926.58999999999924</v>
      </c>
      <c r="F7" s="279">
        <f>C7+D7-E7</f>
        <v>202727.74999999994</v>
      </c>
      <c r="G7" s="280"/>
      <c r="H7" s="281"/>
      <c r="I7" s="446"/>
    </row>
    <row r="8" spans="1:18" x14ac:dyDescent="0.2">
      <c r="A8" s="282"/>
      <c r="B8" s="283" t="s">
        <v>62</v>
      </c>
      <c r="C8" s="277">
        <f>'March 2022'!F8</f>
        <v>-7415.22</v>
      </c>
      <c r="D8" s="284"/>
      <c r="E8" s="284">
        <v>929.79</v>
      </c>
      <c r="F8" s="286">
        <f t="shared" ref="F8:F15" si="0">C8+D8-E8</f>
        <v>-8345.01</v>
      </c>
      <c r="G8" s="280"/>
      <c r="H8" s="273"/>
      <c r="I8" s="287"/>
    </row>
    <row r="9" spans="1:18" hidden="1" x14ac:dyDescent="0.2">
      <c r="A9" s="282"/>
      <c r="B9" s="288" t="s">
        <v>67</v>
      </c>
      <c r="C9" s="277">
        <f>'March 2022'!F9</f>
        <v>0</v>
      </c>
      <c r="D9" s="284"/>
      <c r="E9" s="284"/>
      <c r="F9" s="279">
        <f t="shared" si="0"/>
        <v>0</v>
      </c>
      <c r="G9" s="280"/>
      <c r="H9" s="273"/>
      <c r="I9" s="289"/>
      <c r="J9" s="446"/>
    </row>
    <row r="10" spans="1:18" hidden="1" x14ac:dyDescent="0.2">
      <c r="A10" s="282"/>
      <c r="B10" s="288" t="s">
        <v>41</v>
      </c>
      <c r="C10" s="277">
        <f>'March 2022'!F10</f>
        <v>-1.0000000002037268E-2</v>
      </c>
      <c r="D10" s="290"/>
      <c r="E10" s="290"/>
      <c r="F10" s="286">
        <f t="shared" si="0"/>
        <v>-1.0000000002037268E-2</v>
      </c>
      <c r="G10" s="280"/>
      <c r="H10" s="273"/>
      <c r="I10" s="291"/>
      <c r="J10" s="446"/>
    </row>
    <row r="11" spans="1:18" hidden="1" x14ac:dyDescent="0.2">
      <c r="A11" s="282"/>
      <c r="B11" s="288" t="s">
        <v>29</v>
      </c>
      <c r="C11" s="277">
        <f>'March 2022'!F11</f>
        <v>0</v>
      </c>
      <c r="D11" s="292"/>
      <c r="E11" s="292"/>
      <c r="F11" s="279">
        <f t="shared" si="0"/>
        <v>0</v>
      </c>
      <c r="G11" s="280"/>
      <c r="H11" s="273"/>
      <c r="I11" s="293"/>
    </row>
    <row r="12" spans="1:18" x14ac:dyDescent="0.2">
      <c r="A12" s="282"/>
      <c r="B12" s="288" t="s">
        <v>20</v>
      </c>
      <c r="C12" s="277">
        <f>'March 2022'!F12</f>
        <v>8813.1700000000019</v>
      </c>
      <c r="D12" s="294">
        <f>370.48+791.59</f>
        <v>1162.0700000000002</v>
      </c>
      <c r="E12" s="294">
        <v>46.28</v>
      </c>
      <c r="F12" s="295">
        <f>C12+D12-E12</f>
        <v>9928.9600000000009</v>
      </c>
      <c r="G12" s="280"/>
      <c r="H12" s="273" t="s">
        <v>107</v>
      </c>
      <c r="I12" s="446"/>
    </row>
    <row r="13" spans="1:18" x14ac:dyDescent="0.2">
      <c r="A13" s="282"/>
      <c r="B13" s="288" t="s">
        <v>22</v>
      </c>
      <c r="C13" s="277">
        <f>'March 2022'!F13</f>
        <v>656.84999999999991</v>
      </c>
      <c r="D13" s="294">
        <v>61.13</v>
      </c>
      <c r="E13" s="294">
        <v>661</v>
      </c>
      <c r="F13" s="295">
        <f>C13+D13-E13</f>
        <v>56.979999999999905</v>
      </c>
      <c r="G13" s="280"/>
      <c r="H13" s="273"/>
      <c r="I13" s="446"/>
    </row>
    <row r="14" spans="1:18" x14ac:dyDescent="0.2">
      <c r="A14" s="282"/>
      <c r="B14" s="288" t="s">
        <v>28</v>
      </c>
      <c r="C14" s="277">
        <f>'March 2022'!F14</f>
        <v>-153.75000000000114</v>
      </c>
      <c r="D14" s="294"/>
      <c r="E14" s="294">
        <v>91.46</v>
      </c>
      <c r="F14" s="286">
        <f t="shared" si="0"/>
        <v>-245.21000000000112</v>
      </c>
      <c r="G14" s="280"/>
      <c r="H14" s="273"/>
      <c r="I14" s="446"/>
    </row>
    <row r="15" spans="1:18" x14ac:dyDescent="0.2">
      <c r="A15" s="282"/>
      <c r="B15" s="296" t="s">
        <v>42</v>
      </c>
      <c r="C15" s="277">
        <f>'March 2022'!F15</f>
        <v>518.22</v>
      </c>
      <c r="D15" s="284"/>
      <c r="E15" s="284">
        <v>194.24</v>
      </c>
      <c r="F15" s="297">
        <f t="shared" si="0"/>
        <v>323.98</v>
      </c>
      <c r="G15" s="280"/>
      <c r="H15" s="273"/>
      <c r="I15" s="446"/>
    </row>
    <row r="16" spans="1:18" x14ac:dyDescent="0.2">
      <c r="A16" s="282"/>
      <c r="B16" s="296" t="s">
        <v>43</v>
      </c>
      <c r="C16" s="277">
        <f>'March 2022'!F16</f>
        <v>-596.89000000000033</v>
      </c>
      <c r="D16" s="284"/>
      <c r="E16" s="284"/>
      <c r="F16" s="295">
        <f>C16+D16-E16</f>
        <v>-596.89000000000033</v>
      </c>
      <c r="G16" s="280"/>
      <c r="H16" s="273"/>
      <c r="I16" s="273"/>
      <c r="P16" s="446"/>
    </row>
    <row r="17" spans="1:16" ht="15" x14ac:dyDescent="0.25">
      <c r="A17" s="805" t="s">
        <v>53</v>
      </c>
      <c r="B17" s="806"/>
      <c r="C17" s="298">
        <f>SUM(C18:C22)</f>
        <v>-20139.680000000004</v>
      </c>
      <c r="D17" s="299">
        <f>SUM(D18:D22)</f>
        <v>16773.38</v>
      </c>
      <c r="E17" s="299">
        <f>SUM(E18:E22)</f>
        <v>7512.34</v>
      </c>
      <c r="F17" s="286">
        <f>SUM(F18:F22)</f>
        <v>-10878.640000000003</v>
      </c>
      <c r="G17" s="300"/>
      <c r="H17" s="273"/>
      <c r="I17" s="273"/>
      <c r="P17" s="446"/>
    </row>
    <row r="18" spans="1:16" x14ac:dyDescent="0.2">
      <c r="A18" s="301"/>
      <c r="B18" s="302" t="s">
        <v>9</v>
      </c>
      <c r="C18" s="303">
        <f>'March 2022'!F18</f>
        <v>-13123.800000000001</v>
      </c>
      <c r="D18" s="304">
        <v>15176</v>
      </c>
      <c r="E18" s="305">
        <v>5700.7</v>
      </c>
      <c r="F18" s="306">
        <f>C18+D18-E18</f>
        <v>-3648.5000000000009</v>
      </c>
      <c r="G18" s="284">
        <v>15176</v>
      </c>
      <c r="H18" s="273" t="s">
        <v>107</v>
      </c>
      <c r="I18" s="446"/>
      <c r="J18" s="79"/>
    </row>
    <row r="19" spans="1:16" x14ac:dyDescent="0.2">
      <c r="A19" s="282"/>
      <c r="B19" s="307" t="s">
        <v>8</v>
      </c>
      <c r="C19" s="303">
        <f>'March 2022'!F19</f>
        <v>-3664.7500000000018</v>
      </c>
      <c r="D19" s="294">
        <v>1597.38</v>
      </c>
      <c r="E19" s="290">
        <f>289.61+47.22</f>
        <v>336.83000000000004</v>
      </c>
      <c r="F19" s="306">
        <f>C19+D19-E19</f>
        <v>-2404.2000000000016</v>
      </c>
      <c r="G19" s="308"/>
      <c r="H19" s="273"/>
      <c r="I19" s="446"/>
    </row>
    <row r="20" spans="1:16" x14ac:dyDescent="0.2">
      <c r="A20" s="282"/>
      <c r="B20" s="307" t="s">
        <v>32</v>
      </c>
      <c r="C20" s="303">
        <f>'March 2022'!F20</f>
        <v>-548.74000000000046</v>
      </c>
      <c r="D20" s="294"/>
      <c r="E20" s="290">
        <v>381.06</v>
      </c>
      <c r="F20" s="306">
        <f t="shared" ref="F20:F22" si="1">C20+D20-E20</f>
        <v>-929.80000000000041</v>
      </c>
      <c r="G20" s="309">
        <v>5000</v>
      </c>
      <c r="H20" s="273" t="s">
        <v>107</v>
      </c>
      <c r="I20" s="446"/>
    </row>
    <row r="21" spans="1:16" hidden="1" x14ac:dyDescent="0.2">
      <c r="A21" s="282"/>
      <c r="B21" s="307" t="s">
        <v>67</v>
      </c>
      <c r="C21" s="303">
        <f>'March 2022'!F21</f>
        <v>-9.0951551845463996E-15</v>
      </c>
      <c r="D21" s="294"/>
      <c r="E21" s="294"/>
      <c r="F21" s="306">
        <f t="shared" si="1"/>
        <v>-9.0951551845463996E-15</v>
      </c>
      <c r="G21" s="309"/>
      <c r="H21" s="273"/>
      <c r="I21" s="446"/>
    </row>
    <row r="22" spans="1:16" x14ac:dyDescent="0.2">
      <c r="A22" s="310"/>
      <c r="B22" s="311" t="s">
        <v>38</v>
      </c>
      <c r="C22" s="303">
        <f>'March 2022'!F22</f>
        <v>-2802.3900000000003</v>
      </c>
      <c r="D22" s="312"/>
      <c r="E22" s="305">
        <f>914.55+179.2</f>
        <v>1093.75</v>
      </c>
      <c r="F22" s="306">
        <f t="shared" si="1"/>
        <v>-3896.1400000000003</v>
      </c>
      <c r="G22" s="284">
        <v>8500</v>
      </c>
      <c r="H22" s="273" t="s">
        <v>107</v>
      </c>
      <c r="I22" s="446"/>
      <c r="J22" s="79"/>
    </row>
    <row r="23" spans="1:16" x14ac:dyDescent="0.2">
      <c r="A23" s="807" t="s">
        <v>10</v>
      </c>
      <c r="B23" s="808"/>
      <c r="C23" s="298">
        <f>SUM(C24:C31)</f>
        <v>277875.61000000004</v>
      </c>
      <c r="D23" s="313">
        <f>SUM(D24:D31)</f>
        <v>0</v>
      </c>
      <c r="E23" s="314">
        <f>SUM(E24:E31)</f>
        <v>5525.46</v>
      </c>
      <c r="F23" s="314">
        <f>SUM(F24:F31)-0.08</f>
        <v>272350.07</v>
      </c>
      <c r="G23" s="315">
        <f>SUM(G31:G35)</f>
        <v>70000</v>
      </c>
      <c r="H23" s="273"/>
      <c r="I23" s="273"/>
      <c r="P23" s="446"/>
    </row>
    <row r="24" spans="1:16" hidden="1" x14ac:dyDescent="0.2">
      <c r="A24" s="301"/>
      <c r="B24" s="316" t="s">
        <v>55</v>
      </c>
      <c r="C24" s="303">
        <f>'February 2021'!G24</f>
        <v>0</v>
      </c>
      <c r="D24" s="317"/>
      <c r="E24" s="304"/>
      <c r="F24" s="318">
        <f>C24+D24-E24</f>
        <v>0</v>
      </c>
      <c r="G24" s="278"/>
      <c r="H24" s="273"/>
      <c r="I24" s="446"/>
      <c r="J24" s="319"/>
    </row>
    <row r="25" spans="1:16" hidden="1" x14ac:dyDescent="0.2">
      <c r="A25" s="310"/>
      <c r="B25" s="296" t="s">
        <v>70</v>
      </c>
      <c r="C25" s="303">
        <f>'January 2022'!F25</f>
        <v>7.9999999998108251E-2</v>
      </c>
      <c r="D25" s="312"/>
      <c r="E25" s="312"/>
      <c r="F25" s="318">
        <f>C25+D25-E25</f>
        <v>7.9999999998108251E-2</v>
      </c>
      <c r="G25" s="284"/>
      <c r="H25" s="273"/>
      <c r="I25" s="446"/>
      <c r="J25" s="319"/>
    </row>
    <row r="26" spans="1:16" x14ac:dyDescent="0.2">
      <c r="A26" s="275"/>
      <c r="B26" s="320" t="s">
        <v>105</v>
      </c>
      <c r="C26" s="303">
        <f>'March 2022'!F26</f>
        <v>18710.000000000007</v>
      </c>
      <c r="D26" s="305"/>
      <c r="E26" s="321"/>
      <c r="F26" s="318">
        <f t="shared" ref="F26:F31" si="2">C26+D26-E26</f>
        <v>18710.000000000007</v>
      </c>
      <c r="G26" s="284"/>
      <c r="H26" s="273"/>
      <c r="I26" s="446"/>
      <c r="J26" s="446"/>
    </row>
    <row r="27" spans="1:16" hidden="1" x14ac:dyDescent="0.2">
      <c r="A27" s="275"/>
      <c r="B27" s="320" t="s">
        <v>39</v>
      </c>
      <c r="C27" s="303">
        <f>'March 2022'!F27</f>
        <v>8.1854523159563541E-12</v>
      </c>
      <c r="D27" s="312"/>
      <c r="E27" s="305"/>
      <c r="F27" s="318">
        <f t="shared" si="2"/>
        <v>8.1854523159563541E-12</v>
      </c>
      <c r="G27" s="284"/>
      <c r="H27" s="273"/>
      <c r="I27" s="446"/>
      <c r="J27" s="446"/>
    </row>
    <row r="28" spans="1:16" x14ac:dyDescent="0.2">
      <c r="A28" s="275"/>
      <c r="B28" s="320" t="s">
        <v>65</v>
      </c>
      <c r="C28" s="303">
        <f>'March 2022'!F28</f>
        <v>219.45000000000982</v>
      </c>
      <c r="D28" s="312"/>
      <c r="E28" s="312">
        <v>219.41</v>
      </c>
      <c r="F28" s="318">
        <f t="shared" si="2"/>
        <v>4.0000000009825953E-2</v>
      </c>
      <c r="G28" s="284"/>
      <c r="H28" s="273"/>
      <c r="I28" s="446"/>
      <c r="J28" s="446"/>
    </row>
    <row r="29" spans="1:16" x14ac:dyDescent="0.2">
      <c r="A29" s="275"/>
      <c r="B29" s="320" t="s">
        <v>86</v>
      </c>
      <c r="C29" s="303">
        <f>'March 2022'!F29</f>
        <v>134492</v>
      </c>
      <c r="D29" s="312"/>
      <c r="E29" s="312">
        <v>5306.05</v>
      </c>
      <c r="F29" s="318">
        <f t="shared" si="2"/>
        <v>129185.95</v>
      </c>
      <c r="G29" s="284"/>
      <c r="H29" s="273"/>
      <c r="I29" s="446"/>
      <c r="J29" s="446"/>
    </row>
    <row r="30" spans="1:16" x14ac:dyDescent="0.2">
      <c r="A30" s="275"/>
      <c r="B30" s="320" t="s">
        <v>101</v>
      </c>
      <c r="C30" s="303">
        <f>'March 2022'!F30</f>
        <v>124406</v>
      </c>
      <c r="D30" s="312"/>
      <c r="E30" s="312"/>
      <c r="F30" s="318">
        <f t="shared" si="2"/>
        <v>124406</v>
      </c>
      <c r="G30" s="284"/>
      <c r="H30" s="273"/>
      <c r="I30" s="446"/>
      <c r="J30" s="446"/>
    </row>
    <row r="31" spans="1:16" x14ac:dyDescent="0.2">
      <c r="A31" s="310"/>
      <c r="B31" s="296" t="s">
        <v>44</v>
      </c>
      <c r="C31" s="303">
        <f>'March 2022'!F31</f>
        <v>48.079999999999984</v>
      </c>
      <c r="D31" s="312"/>
      <c r="E31" s="305"/>
      <c r="F31" s="318">
        <f t="shared" si="2"/>
        <v>48.079999999999984</v>
      </c>
      <c r="G31" s="284"/>
      <c r="H31" s="273"/>
      <c r="I31" s="446"/>
      <c r="J31" s="319"/>
    </row>
    <row r="32" spans="1:16" x14ac:dyDescent="0.2">
      <c r="A32" s="809" t="s">
        <v>35</v>
      </c>
      <c r="B32" s="810"/>
      <c r="C32" s="298">
        <f>SUM(C33:C36)</f>
        <v>82359.31</v>
      </c>
      <c r="D32" s="313">
        <f>SUM(D33:D36)</f>
        <v>0</v>
      </c>
      <c r="E32" s="314">
        <f>SUM(E33:E35)</f>
        <v>3149.1400000000003</v>
      </c>
      <c r="F32" s="314">
        <f>SUM(F33:F36)</f>
        <v>79210.17</v>
      </c>
      <c r="G32" s="315">
        <f>SUM(G33:G35)</f>
        <v>35000</v>
      </c>
      <c r="H32" s="273"/>
      <c r="I32" s="273"/>
      <c r="P32" s="446"/>
    </row>
    <row r="33" spans="1:16" x14ac:dyDescent="0.2">
      <c r="A33" s="310"/>
      <c r="B33" s="296" t="s">
        <v>104</v>
      </c>
      <c r="C33" s="303">
        <f>'March 2022'!F33</f>
        <v>26332.31</v>
      </c>
      <c r="D33" s="322"/>
      <c r="E33" s="323">
        <v>60.97</v>
      </c>
      <c r="F33" s="324">
        <f>C33+D33-E33</f>
        <v>26271.34</v>
      </c>
      <c r="G33" s="284"/>
      <c r="H33" s="273"/>
      <c r="I33" s="446"/>
      <c r="J33" s="319"/>
    </row>
    <row r="34" spans="1:16" x14ac:dyDescent="0.2">
      <c r="A34" s="310"/>
      <c r="B34" s="296" t="s">
        <v>90</v>
      </c>
      <c r="C34" s="303">
        <f>'March 2022'!F34</f>
        <v>25001.730000000007</v>
      </c>
      <c r="D34" s="322"/>
      <c r="E34" s="323">
        <v>30.49</v>
      </c>
      <c r="F34" s="324">
        <f t="shared" ref="F34" si="3">C34+D34-E34</f>
        <v>24971.240000000005</v>
      </c>
      <c r="G34" s="284">
        <v>35000</v>
      </c>
      <c r="H34" s="273"/>
      <c r="I34" s="446"/>
      <c r="J34" s="319"/>
    </row>
    <row r="35" spans="1:16" x14ac:dyDescent="0.2">
      <c r="A35" s="310"/>
      <c r="B35" s="325" t="s">
        <v>103</v>
      </c>
      <c r="C35" s="303">
        <f>'March 2022'!F35</f>
        <v>20475.269999999997</v>
      </c>
      <c r="D35" s="322"/>
      <c r="E35" s="305">
        <f>2844.28+213.4</f>
        <v>3057.6800000000003</v>
      </c>
      <c r="F35" s="324">
        <f>C35+D35-E35</f>
        <v>17417.589999999997</v>
      </c>
      <c r="G35" s="284"/>
      <c r="H35" s="273"/>
      <c r="I35" s="293"/>
      <c r="J35" s="266"/>
      <c r="P35" s="326"/>
    </row>
    <row r="36" spans="1:16" ht="12" thickBot="1" x14ac:dyDescent="0.25">
      <c r="B36" s="445" t="s">
        <v>99</v>
      </c>
      <c r="C36" s="303">
        <f>'March 2022'!F36</f>
        <v>10550</v>
      </c>
      <c r="D36" s="431"/>
      <c r="F36" s="324">
        <f>C36+D36-E36</f>
        <v>10550</v>
      </c>
    </row>
    <row r="37" spans="1:16" ht="12" thickBot="1" x14ac:dyDescent="0.25">
      <c r="A37" s="794" t="s">
        <v>11</v>
      </c>
      <c r="B37" s="795"/>
      <c r="C37" s="327">
        <f>C32+C23+C17+C6-324.97</f>
        <v>543267.08000000007</v>
      </c>
      <c r="D37" s="328">
        <f>SUM(D23,D17,D6,D32)</f>
        <v>18123.300000000003</v>
      </c>
      <c r="E37" s="328">
        <f>SUM(E23,E17,E6,E32)</f>
        <v>17183.12</v>
      </c>
      <c r="F37" s="329">
        <f>SUM(F23,F17,F6,F32)-324.97</f>
        <v>544207.17999999993</v>
      </c>
      <c r="G37" s="330">
        <f>SUM(G6,G16,G23,G32)</f>
        <v>105000</v>
      </c>
      <c r="H37" s="446"/>
      <c r="I37" s="446"/>
      <c r="J37" s="331"/>
    </row>
    <row r="38" spans="1:16" hidden="1" x14ac:dyDescent="0.2">
      <c r="A38" s="449"/>
      <c r="B38" s="444"/>
      <c r="C38" s="446">
        <f>SUM(C17:C22)</f>
        <v>-40279.360000000001</v>
      </c>
      <c r="D38" s="446"/>
      <c r="E38" s="446"/>
      <c r="F38" s="446"/>
      <c r="G38" s="334"/>
      <c r="H38" s="446"/>
      <c r="K38" s="445" t="s">
        <v>12</v>
      </c>
      <c r="L38" s="445">
        <v>42.43</v>
      </c>
    </row>
    <row r="39" spans="1:16" ht="12" hidden="1" thickBot="1" x14ac:dyDescent="0.25">
      <c r="A39" s="335" t="s">
        <v>25</v>
      </c>
      <c r="B39" s="336"/>
      <c r="C39" s="337" t="e">
        <f>SUM(C37,#REF!)</f>
        <v>#REF!</v>
      </c>
      <c r="D39" s="338" t="e">
        <f>SUM(D37,#REF!)</f>
        <v>#REF!</v>
      </c>
      <c r="E39" s="338" t="e">
        <f>SUM(E37,#REF!)</f>
        <v>#REF!</v>
      </c>
      <c r="F39" s="339" t="e">
        <f>SUM(F37,#REF!)</f>
        <v>#REF!</v>
      </c>
      <c r="G39" s="334"/>
      <c r="H39" s="446"/>
      <c r="I39" s="331"/>
      <c r="J39" s="79">
        <v>206730.35</v>
      </c>
    </row>
    <row r="40" spans="1:16" ht="12" thickBot="1" x14ac:dyDescent="0.25">
      <c r="B40" s="340"/>
      <c r="C40" s="446"/>
      <c r="D40" s="446"/>
      <c r="E40" s="446"/>
      <c r="F40" s="446"/>
      <c r="G40" s="334"/>
      <c r="H40" s="341"/>
      <c r="I40" s="331"/>
      <c r="J40" s="79"/>
      <c r="P40" s="446"/>
    </row>
    <row r="41" spans="1:16" ht="12" thickBot="1" x14ac:dyDescent="0.25">
      <c r="A41" s="796" t="s">
        <v>13</v>
      </c>
      <c r="B41" s="797"/>
      <c r="C41" s="342" t="s">
        <v>2</v>
      </c>
      <c r="D41" s="342" t="s">
        <v>3</v>
      </c>
      <c r="E41" s="342" t="s">
        <v>27</v>
      </c>
      <c r="F41" s="342" t="s">
        <v>5</v>
      </c>
      <c r="G41" s="269"/>
      <c r="H41" s="331"/>
      <c r="I41" s="343"/>
    </row>
    <row r="42" spans="1:16" ht="12" thickBot="1" x14ac:dyDescent="0.25">
      <c r="A42" s="784" t="s">
        <v>14</v>
      </c>
      <c r="B42" s="785"/>
      <c r="C42" s="344">
        <f>'March 2022'!F42</f>
        <v>122.23</v>
      </c>
      <c r="D42" s="345"/>
      <c r="E42" s="345">
        <v>10.36</v>
      </c>
      <c r="F42" s="346">
        <f>C42+D42-E42</f>
        <v>111.87</v>
      </c>
      <c r="G42" s="446"/>
      <c r="I42" s="331"/>
      <c r="J42" s="79"/>
    </row>
    <row r="43" spans="1:16" ht="12" thickBot="1" x14ac:dyDescent="0.25">
      <c r="A43" s="798" t="s">
        <v>15</v>
      </c>
      <c r="B43" s="799"/>
      <c r="C43" s="344">
        <f>'March 2022'!F43</f>
        <v>5752.7700000000095</v>
      </c>
      <c r="D43" s="347">
        <v>12000</v>
      </c>
      <c r="E43" s="347">
        <v>14099.19</v>
      </c>
      <c r="F43" s="346">
        <f>C43+D43-E43-0.02</f>
        <v>3653.5600000000109</v>
      </c>
      <c r="G43" s="446"/>
      <c r="H43" s="349"/>
      <c r="I43" s="331"/>
    </row>
    <row r="44" spans="1:16" ht="12" thickBot="1" x14ac:dyDescent="0.25">
      <c r="A44" s="350"/>
      <c r="B44" s="351" t="s">
        <v>21</v>
      </c>
      <c r="C44" s="344">
        <f>'March 2022'!F44</f>
        <v>0</v>
      </c>
      <c r="D44" s="352"/>
      <c r="E44" s="352"/>
      <c r="F44" s="346">
        <f t="shared" ref="F44:F48" si="4">C44+D44-E44</f>
        <v>0</v>
      </c>
      <c r="G44" s="446"/>
      <c r="H44" s="349"/>
      <c r="I44" s="79"/>
    </row>
    <row r="45" spans="1:16" ht="12" thickBot="1" x14ac:dyDescent="0.25">
      <c r="A45" s="350"/>
      <c r="B45" s="351" t="s">
        <v>40</v>
      </c>
      <c r="C45" s="344">
        <f>'March 2022'!F45</f>
        <v>-566.13999999999976</v>
      </c>
      <c r="D45" s="353">
        <v>64.64</v>
      </c>
      <c r="E45" s="353">
        <v>2220.7399999999998</v>
      </c>
      <c r="F45" s="346">
        <f>C45+D45-E45-0.01</f>
        <v>-2722.25</v>
      </c>
      <c r="G45" s="446"/>
      <c r="H45" s="79"/>
      <c r="I45" s="79"/>
    </row>
    <row r="46" spans="1:16" ht="12" thickBot="1" x14ac:dyDescent="0.25">
      <c r="A46" s="784" t="s">
        <v>16</v>
      </c>
      <c r="B46" s="785"/>
      <c r="C46" s="344">
        <f>'March 2022'!F46</f>
        <v>303432.00000000006</v>
      </c>
      <c r="D46" s="355">
        <v>18148.52</v>
      </c>
      <c r="E46" s="355">
        <v>12000</v>
      </c>
      <c r="F46" s="346">
        <f t="shared" si="4"/>
        <v>309580.52000000008</v>
      </c>
      <c r="G46" s="446"/>
      <c r="H46" s="79"/>
      <c r="I46" s="79"/>
    </row>
    <row r="47" spans="1:16" ht="12" thickBot="1" x14ac:dyDescent="0.25">
      <c r="A47" s="357" t="s">
        <v>46</v>
      </c>
      <c r="B47" s="358"/>
      <c r="C47" s="344">
        <f>'March 2022'!F47</f>
        <v>235898.13999999996</v>
      </c>
      <c r="D47" s="322">
        <v>57.34</v>
      </c>
      <c r="E47" s="322">
        <v>1000</v>
      </c>
      <c r="F47" s="346">
        <f>C47+D47-E47</f>
        <v>234955.47999999995</v>
      </c>
      <c r="G47" s="446"/>
      <c r="H47" s="79"/>
      <c r="I47" s="79"/>
    </row>
    <row r="48" spans="1:16" ht="12" thickBot="1" x14ac:dyDescent="0.25">
      <c r="A48" s="800"/>
      <c r="B48" s="795"/>
      <c r="C48" s="360">
        <f>SUM(C42+C43+C46+C47+C45+C44)</f>
        <v>544639</v>
      </c>
      <c r="D48" s="361">
        <f>SUM(D42:D47)</f>
        <v>30270.5</v>
      </c>
      <c r="E48" s="361">
        <f>SUM(E42:E47)</f>
        <v>29330.29</v>
      </c>
      <c r="F48" s="346">
        <f t="shared" si="4"/>
        <v>545579.21</v>
      </c>
      <c r="G48" s="446"/>
      <c r="H48" s="331"/>
      <c r="I48" s="79"/>
      <c r="J48" s="266"/>
    </row>
    <row r="49" spans="1:16" x14ac:dyDescent="0.2">
      <c r="A49" s="449"/>
      <c r="B49" s="444"/>
      <c r="C49" s="446">
        <f>C37-C48</f>
        <v>-1371.9199999999255</v>
      </c>
      <c r="D49" s="446"/>
      <c r="E49" s="446"/>
      <c r="F49" s="446">
        <f>F37-F48</f>
        <v>-1372.0300000000279</v>
      </c>
      <c r="H49" s="446"/>
      <c r="I49" s="331"/>
      <c r="J49" s="331"/>
      <c r="K49" s="266"/>
    </row>
    <row r="50" spans="1:16" x14ac:dyDescent="0.2">
      <c r="B50" s="340"/>
      <c r="C50" s="446"/>
      <c r="D50" s="446"/>
      <c r="E50" s="446"/>
      <c r="F50" s="446"/>
      <c r="G50" s="446"/>
      <c r="H50" s="446"/>
      <c r="I50" s="331"/>
    </row>
    <row r="51" spans="1:16" x14ac:dyDescent="0.2">
      <c r="A51" s="801" t="s">
        <v>17</v>
      </c>
      <c r="B51" s="801"/>
      <c r="C51" s="801"/>
      <c r="D51" s="801"/>
      <c r="E51" s="802" t="s">
        <v>18</v>
      </c>
      <c r="F51" s="802"/>
      <c r="G51" s="446"/>
      <c r="H51" s="446"/>
      <c r="J51" s="331"/>
    </row>
    <row r="52" spans="1:16" x14ac:dyDescent="0.2">
      <c r="C52" s="446"/>
      <c r="D52" s="446"/>
      <c r="E52" s="446"/>
      <c r="F52" s="446"/>
      <c r="G52" s="446"/>
      <c r="H52" s="446"/>
    </row>
    <row r="53" spans="1:16" x14ac:dyDescent="0.2">
      <c r="A53" s="801" t="s">
        <v>19</v>
      </c>
      <c r="B53" s="801"/>
      <c r="C53" s="801"/>
      <c r="D53" s="801"/>
      <c r="E53" s="802" t="s">
        <v>18</v>
      </c>
      <c r="F53" s="802"/>
      <c r="G53" s="446"/>
      <c r="H53" s="446"/>
    </row>
    <row r="54" spans="1:16" x14ac:dyDescent="0.2">
      <c r="A54" s="449"/>
      <c r="B54" s="444"/>
      <c r="C54" s="266"/>
      <c r="D54" s="266"/>
      <c r="E54" s="266"/>
      <c r="F54" s="79"/>
      <c r="G54" s="266"/>
      <c r="H54" s="266"/>
      <c r="I54" s="331"/>
      <c r="J54" s="79"/>
      <c r="P54" s="364"/>
    </row>
    <row r="55" spans="1:16" x14ac:dyDescent="0.2">
      <c r="B55" s="340"/>
      <c r="C55" s="331"/>
      <c r="D55" s="331"/>
      <c r="E55" s="331"/>
      <c r="F55" s="331"/>
      <c r="I55" s="331"/>
      <c r="J55" s="343"/>
      <c r="L55" s="266"/>
      <c r="P55" s="364"/>
    </row>
    <row r="56" spans="1:16" x14ac:dyDescent="0.2">
      <c r="B56" s="340"/>
      <c r="C56" s="79"/>
      <c r="D56" s="331"/>
      <c r="F56" s="331"/>
      <c r="J56" s="331"/>
    </row>
  </sheetData>
  <mergeCells count="17">
    <mergeCell ref="A48:B48"/>
    <mergeCell ref="A51:D51"/>
    <mergeCell ref="E51:F51"/>
    <mergeCell ref="A53:D53"/>
    <mergeCell ref="E53:F53"/>
    <mergeCell ref="A46:B46"/>
    <mergeCell ref="A2:G2"/>
    <mergeCell ref="A3:G3"/>
    <mergeCell ref="A5:B5"/>
    <mergeCell ref="A6:B6"/>
    <mergeCell ref="A17:B17"/>
    <mergeCell ref="A23:B23"/>
    <mergeCell ref="A32:B32"/>
    <mergeCell ref="A37:B37"/>
    <mergeCell ref="A41:B41"/>
    <mergeCell ref="A42:B42"/>
    <mergeCell ref="A43:B43"/>
  </mergeCells>
  <pageMargins left="0.7" right="0.7" top="0.75" bottom="0.75" header="0.3" footer="0.3"/>
  <pageSetup orientation="portrait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65F42-C8AF-464C-B6B3-25BC0593872C}">
  <dimension ref="A1:R57"/>
  <sheetViews>
    <sheetView topLeftCell="A5" zoomScale="120" zoomScaleNormal="120" workbookViewId="0">
      <selection activeCell="C33" sqref="C33"/>
    </sheetView>
  </sheetViews>
  <sheetFormatPr defaultColWidth="9.140625" defaultRowHeight="11.25" x14ac:dyDescent="0.2"/>
  <cols>
    <col min="1" max="1" width="10.7109375" style="451" customWidth="1"/>
    <col min="2" max="2" width="28.140625" style="451" customWidth="1"/>
    <col min="3" max="3" width="10.5703125" style="451" customWidth="1"/>
    <col min="4" max="4" width="9.42578125" style="451" customWidth="1"/>
    <col min="5" max="5" width="9.140625" style="451"/>
    <col min="6" max="6" width="10.28515625" style="451" customWidth="1"/>
    <col min="7" max="7" width="8.85546875" style="451" customWidth="1"/>
    <col min="8" max="8" width="12.140625" style="451" customWidth="1"/>
    <col min="9" max="9" width="14.7109375" style="451" customWidth="1"/>
    <col min="10" max="10" width="14.5703125" style="451" customWidth="1"/>
    <col min="11" max="11" width="11.28515625" style="451" customWidth="1"/>
    <col min="12" max="15" width="9.140625" style="451"/>
    <col min="16" max="16" width="13" style="451" customWidth="1"/>
    <col min="17" max="16384" width="9.140625" style="451"/>
  </cols>
  <sheetData>
    <row r="1" spans="1:18" hidden="1" x14ac:dyDescent="0.2"/>
    <row r="2" spans="1:18" x14ac:dyDescent="0.2">
      <c r="A2" s="786" t="s">
        <v>0</v>
      </c>
      <c r="B2" s="786"/>
      <c r="C2" s="786"/>
      <c r="D2" s="786"/>
      <c r="E2" s="786"/>
      <c r="F2" s="786"/>
      <c r="G2" s="786"/>
      <c r="H2" s="453"/>
    </row>
    <row r="3" spans="1:18" x14ac:dyDescent="0.2">
      <c r="A3" s="787" t="s">
        <v>110</v>
      </c>
      <c r="B3" s="787"/>
      <c r="C3" s="787"/>
      <c r="D3" s="787"/>
      <c r="E3" s="787"/>
      <c r="F3" s="787"/>
      <c r="G3" s="787"/>
      <c r="H3" s="454"/>
    </row>
    <row r="4" spans="1:18" ht="12" thickBot="1" x14ac:dyDescent="0.25">
      <c r="B4" s="265" t="s">
        <v>37</v>
      </c>
      <c r="F4" s="266"/>
      <c r="I4" s="267"/>
    </row>
    <row r="5" spans="1:18" x14ac:dyDescent="0.2">
      <c r="A5" s="788" t="s">
        <v>1</v>
      </c>
      <c r="B5" s="789"/>
      <c r="C5" s="268" t="s">
        <v>2</v>
      </c>
      <c r="D5" s="268" t="s">
        <v>3</v>
      </c>
      <c r="E5" s="268" t="s">
        <v>58</v>
      </c>
      <c r="F5" s="268" t="s">
        <v>5</v>
      </c>
      <c r="G5" s="268" t="s">
        <v>6</v>
      </c>
      <c r="H5" s="269"/>
      <c r="I5" s="269"/>
    </row>
    <row r="6" spans="1:18" ht="15" x14ac:dyDescent="0.25">
      <c r="A6" s="803" t="s">
        <v>7</v>
      </c>
      <c r="B6" s="804"/>
      <c r="C6" s="270">
        <f>SUM(C7:C16)</f>
        <v>203850.54999999993</v>
      </c>
      <c r="D6" s="271">
        <f>SUM(D7:D16)</f>
        <v>4308.5</v>
      </c>
      <c r="E6" s="271">
        <f>SUM(E7:E16)</f>
        <v>4324.91</v>
      </c>
      <c r="F6" s="271">
        <f>SUM(F7:F16)</f>
        <v>203834.13999999993</v>
      </c>
      <c r="G6" s="272">
        <f>SUM(G7:G15)</f>
        <v>0</v>
      </c>
      <c r="H6" s="273"/>
      <c r="I6" s="273"/>
      <c r="J6" s="273"/>
      <c r="K6" s="452"/>
      <c r="P6" s="452"/>
      <c r="R6" s="452"/>
    </row>
    <row r="7" spans="1:18" ht="12" customHeight="1" x14ac:dyDescent="0.2">
      <c r="A7" s="275"/>
      <c r="B7" s="276" t="s">
        <v>23</v>
      </c>
      <c r="C7" s="277">
        <f>'April 2022'!F7</f>
        <v>202727.74999999994</v>
      </c>
      <c r="D7" s="278">
        <v>144.04</v>
      </c>
      <c r="E7" s="430">
        <f>1000+609.66+95+11.93-7775.74</f>
        <v>-6059.15</v>
      </c>
      <c r="F7" s="279">
        <f>C7+D7-E7</f>
        <v>208930.93999999994</v>
      </c>
      <c r="G7" s="280"/>
      <c r="H7" s="281"/>
      <c r="I7" s="452"/>
    </row>
    <row r="8" spans="1:18" x14ac:dyDescent="0.2">
      <c r="A8" s="282"/>
      <c r="B8" s="283" t="s">
        <v>62</v>
      </c>
      <c r="C8" s="277">
        <f>'April 2022'!F8</f>
        <v>-8345.01</v>
      </c>
      <c r="D8" s="284">
        <v>2419.48</v>
      </c>
      <c r="E8" s="284">
        <f>1171.17+251.64</f>
        <v>1422.81</v>
      </c>
      <c r="F8" s="286">
        <f t="shared" ref="F8:F15" si="0">C8+D8-E8</f>
        <v>-7348.34</v>
      </c>
      <c r="G8" s="280"/>
      <c r="H8" s="273"/>
      <c r="I8" s="287"/>
    </row>
    <row r="9" spans="1:18" hidden="1" x14ac:dyDescent="0.2">
      <c r="A9" s="282"/>
      <c r="B9" s="288" t="s">
        <v>67</v>
      </c>
      <c r="C9" s="277">
        <f>'April 2022'!F9</f>
        <v>0</v>
      </c>
      <c r="D9" s="284"/>
      <c r="E9" s="284"/>
      <c r="F9" s="279">
        <f t="shared" si="0"/>
        <v>0</v>
      </c>
      <c r="G9" s="280"/>
      <c r="H9" s="273"/>
      <c r="I9" s="289"/>
      <c r="J9" s="452"/>
    </row>
    <row r="10" spans="1:18" hidden="1" x14ac:dyDescent="0.2">
      <c r="A10" s="282"/>
      <c r="B10" s="288" t="s">
        <v>41</v>
      </c>
      <c r="C10" s="277">
        <f>'April 2022'!F10</f>
        <v>-1.0000000002037268E-2</v>
      </c>
      <c r="D10" s="290"/>
      <c r="E10" s="290"/>
      <c r="F10" s="286">
        <f t="shared" si="0"/>
        <v>-1.0000000002037268E-2</v>
      </c>
      <c r="G10" s="280"/>
      <c r="H10" s="273"/>
      <c r="I10" s="291"/>
      <c r="J10" s="452"/>
    </row>
    <row r="11" spans="1:18" hidden="1" x14ac:dyDescent="0.2">
      <c r="A11" s="282"/>
      <c r="B11" s="288" t="s">
        <v>29</v>
      </c>
      <c r="C11" s="277">
        <f>'April 2022'!F11</f>
        <v>0</v>
      </c>
      <c r="D11" s="292"/>
      <c r="E11" s="292"/>
      <c r="F11" s="279">
        <f t="shared" si="0"/>
        <v>0</v>
      </c>
      <c r="G11" s="280"/>
      <c r="H11" s="273"/>
      <c r="I11" s="293"/>
    </row>
    <row r="12" spans="1:18" x14ac:dyDescent="0.2">
      <c r="A12" s="282"/>
      <c r="B12" s="288" t="s">
        <v>20</v>
      </c>
      <c r="C12" s="277">
        <f>'April 2022'!F12</f>
        <v>9928.9600000000009</v>
      </c>
      <c r="D12" s="294">
        <f>1515.8+101.04</f>
        <v>1616.84</v>
      </c>
      <c r="E12" s="294">
        <v>8961.25</v>
      </c>
      <c r="F12" s="295">
        <f>C12+D12-E12</f>
        <v>2584.5500000000011</v>
      </c>
      <c r="G12" s="280"/>
      <c r="H12" s="273" t="s">
        <v>107</v>
      </c>
      <c r="I12" s="452"/>
    </row>
    <row r="13" spans="1:18" x14ac:dyDescent="0.2">
      <c r="A13" s="282"/>
      <c r="B13" s="288" t="s">
        <v>22</v>
      </c>
      <c r="C13" s="277">
        <f>'April 2022'!F13</f>
        <v>56.979999999999905</v>
      </c>
      <c r="D13" s="294">
        <v>128.13999999999999</v>
      </c>
      <c r="E13" s="294"/>
      <c r="F13" s="295">
        <f>C13+D13-E13</f>
        <v>185.11999999999989</v>
      </c>
      <c r="G13" s="280"/>
      <c r="H13" s="273"/>
      <c r="I13" s="452"/>
    </row>
    <row r="14" spans="1:18" x14ac:dyDescent="0.2">
      <c r="A14" s="282"/>
      <c r="B14" s="288" t="s">
        <v>28</v>
      </c>
      <c r="C14" s="277">
        <f>'April 2022'!F14</f>
        <v>-245.21000000000112</v>
      </c>
      <c r="D14" s="294"/>
      <c r="E14" s="294"/>
      <c r="F14" s="286">
        <f t="shared" si="0"/>
        <v>-245.21000000000112</v>
      </c>
      <c r="G14" s="280"/>
      <c r="H14" s="273"/>
      <c r="I14" s="452"/>
    </row>
    <row r="15" spans="1:18" x14ac:dyDescent="0.2">
      <c r="A15" s="282"/>
      <c r="B15" s="296" t="s">
        <v>42</v>
      </c>
      <c r="C15" s="277">
        <f>'April 2022'!F15</f>
        <v>323.98</v>
      </c>
      <c r="D15" s="284"/>
      <c r="E15" s="284"/>
      <c r="F15" s="297">
        <f t="shared" si="0"/>
        <v>323.98</v>
      </c>
      <c r="G15" s="280"/>
      <c r="H15" s="273"/>
      <c r="I15" s="452"/>
    </row>
    <row r="16" spans="1:18" x14ac:dyDescent="0.2">
      <c r="A16" s="282"/>
      <c r="B16" s="296" t="s">
        <v>43</v>
      </c>
      <c r="C16" s="277">
        <f>'April 2022'!F16</f>
        <v>-596.89000000000033</v>
      </c>
      <c r="D16" s="284"/>
      <c r="E16" s="284"/>
      <c r="F16" s="295">
        <f>C16+D16-E16</f>
        <v>-596.89000000000033</v>
      </c>
      <c r="G16" s="280"/>
      <c r="H16" s="273"/>
      <c r="I16" s="273"/>
      <c r="P16" s="452"/>
    </row>
    <row r="17" spans="1:16" ht="15" x14ac:dyDescent="0.25">
      <c r="A17" s="805" t="s">
        <v>53</v>
      </c>
      <c r="B17" s="806"/>
      <c r="C17" s="298">
        <f>SUM(C18:C22)</f>
        <v>-10878.640000000003</v>
      </c>
      <c r="D17" s="299">
        <f>SUM(D18:D22)</f>
        <v>0</v>
      </c>
      <c r="E17" s="299">
        <f>SUM(E18:E22)</f>
        <v>9382.8000000000011</v>
      </c>
      <c r="F17" s="286">
        <f>SUM(F18:F22)</f>
        <v>-20261.440000000002</v>
      </c>
      <c r="G17" s="300"/>
      <c r="H17" s="273"/>
      <c r="I17" s="273"/>
      <c r="P17" s="452"/>
    </row>
    <row r="18" spans="1:16" x14ac:dyDescent="0.2">
      <c r="A18" s="301"/>
      <c r="B18" s="302" t="s">
        <v>9</v>
      </c>
      <c r="C18" s="303">
        <f>'April 2022'!F18</f>
        <v>-3648.5000000000009</v>
      </c>
      <c r="D18" s="304"/>
      <c r="E18" s="305">
        <v>5611.74</v>
      </c>
      <c r="F18" s="306">
        <f>C18+D18-E18</f>
        <v>-9260.2400000000016</v>
      </c>
      <c r="G18" s="284">
        <v>15176</v>
      </c>
      <c r="H18" s="273" t="s">
        <v>107</v>
      </c>
      <c r="I18" s="452"/>
      <c r="J18" s="79"/>
    </row>
    <row r="19" spans="1:16" x14ac:dyDescent="0.2">
      <c r="A19" s="282"/>
      <c r="B19" s="307" t="s">
        <v>8</v>
      </c>
      <c r="C19" s="303">
        <f>'April 2022'!F19</f>
        <v>-2404.2000000000016</v>
      </c>
      <c r="D19" s="294"/>
      <c r="E19" s="290">
        <v>1134.0999999999999</v>
      </c>
      <c r="F19" s="306">
        <f>C19+D19-E19</f>
        <v>-3538.3000000000015</v>
      </c>
      <c r="G19" s="308"/>
      <c r="H19" s="273"/>
      <c r="I19" s="452"/>
    </row>
    <row r="20" spans="1:16" x14ac:dyDescent="0.2">
      <c r="A20" s="282"/>
      <c r="B20" s="307" t="s">
        <v>32</v>
      </c>
      <c r="C20" s="303">
        <f>'April 2022'!F20</f>
        <v>-929.80000000000041</v>
      </c>
      <c r="D20" s="294"/>
      <c r="E20" s="290">
        <v>640.19000000000005</v>
      </c>
      <c r="F20" s="306">
        <f t="shared" ref="F20:F22" si="1">C20+D20-E20</f>
        <v>-1569.9900000000005</v>
      </c>
      <c r="G20" s="309">
        <v>5000</v>
      </c>
      <c r="H20" s="273" t="s">
        <v>107</v>
      </c>
      <c r="I20" s="452"/>
    </row>
    <row r="21" spans="1:16" hidden="1" x14ac:dyDescent="0.2">
      <c r="A21" s="282"/>
      <c r="B21" s="307" t="s">
        <v>67</v>
      </c>
      <c r="C21" s="303">
        <f>'April 2022'!F21</f>
        <v>-9.0951551845463996E-15</v>
      </c>
      <c r="D21" s="294"/>
      <c r="E21" s="294"/>
      <c r="F21" s="306">
        <f t="shared" si="1"/>
        <v>-9.0951551845463996E-15</v>
      </c>
      <c r="G21" s="309"/>
      <c r="H21" s="273"/>
      <c r="I21" s="452"/>
    </row>
    <row r="22" spans="1:16" x14ac:dyDescent="0.2">
      <c r="A22" s="310"/>
      <c r="B22" s="311" t="s">
        <v>38</v>
      </c>
      <c r="C22" s="303">
        <f>'April 2022'!F22</f>
        <v>-3896.1400000000003</v>
      </c>
      <c r="D22" s="312"/>
      <c r="E22" s="305">
        <v>1996.77</v>
      </c>
      <c r="F22" s="306">
        <f t="shared" si="1"/>
        <v>-5892.91</v>
      </c>
      <c r="G22" s="284">
        <v>8500</v>
      </c>
      <c r="H22" s="273" t="s">
        <v>107</v>
      </c>
      <c r="I22" s="452"/>
      <c r="J22" s="79"/>
    </row>
    <row r="23" spans="1:16" x14ac:dyDescent="0.2">
      <c r="A23" s="807" t="s">
        <v>10</v>
      </c>
      <c r="B23" s="808"/>
      <c r="C23" s="298">
        <f>SUM(C24:C31)</f>
        <v>272350.15000000002</v>
      </c>
      <c r="D23" s="313">
        <f>SUM(D24:D31)</f>
        <v>0</v>
      </c>
      <c r="E23" s="314">
        <f>SUM(E24:E32)</f>
        <v>12605.28</v>
      </c>
      <c r="F23" s="314">
        <f>SUM(F24:F32)-0.08</f>
        <v>259744.79</v>
      </c>
      <c r="G23" s="315">
        <f>SUM(G32:G36)</f>
        <v>70000</v>
      </c>
      <c r="H23" s="273"/>
      <c r="I23" s="273"/>
      <c r="P23" s="452"/>
    </row>
    <row r="24" spans="1:16" hidden="1" x14ac:dyDescent="0.2">
      <c r="A24" s="301"/>
      <c r="B24" s="316" t="s">
        <v>55</v>
      </c>
      <c r="C24" s="303">
        <f>'February 2021'!G24</f>
        <v>0</v>
      </c>
      <c r="D24" s="317"/>
      <c r="E24" s="304"/>
      <c r="F24" s="318">
        <f>C24+D24-E24</f>
        <v>0</v>
      </c>
      <c r="G24" s="278"/>
      <c r="H24" s="273"/>
      <c r="I24" s="452"/>
      <c r="J24" s="319"/>
    </row>
    <row r="25" spans="1:16" hidden="1" x14ac:dyDescent="0.2">
      <c r="A25" s="310"/>
      <c r="B25" s="296" t="s">
        <v>70</v>
      </c>
      <c r="C25" s="303">
        <f>'January 2022'!F25</f>
        <v>7.9999999998108251E-2</v>
      </c>
      <c r="D25" s="312"/>
      <c r="E25" s="312"/>
      <c r="F25" s="318">
        <f>C25+D25-E25</f>
        <v>7.9999999998108251E-2</v>
      </c>
      <c r="G25" s="284"/>
      <c r="H25" s="273"/>
      <c r="I25" s="452"/>
      <c r="J25" s="319"/>
    </row>
    <row r="26" spans="1:16" x14ac:dyDescent="0.2">
      <c r="A26" s="275"/>
      <c r="B26" s="320" t="s">
        <v>105</v>
      </c>
      <c r="C26" s="303">
        <f>'April 2022'!F26</f>
        <v>18710.000000000007</v>
      </c>
      <c r="D26" s="305"/>
      <c r="E26" s="321"/>
      <c r="F26" s="318">
        <f t="shared" ref="F26:F30" si="2">C26+D26-E26</f>
        <v>18710.000000000007</v>
      </c>
      <c r="G26" s="284"/>
      <c r="H26" s="273"/>
      <c r="I26" s="452"/>
      <c r="J26" s="452"/>
    </row>
    <row r="27" spans="1:16" hidden="1" x14ac:dyDescent="0.2">
      <c r="A27" s="275"/>
      <c r="B27" s="320" t="s">
        <v>39</v>
      </c>
      <c r="C27" s="303">
        <f>'April 2022'!F27</f>
        <v>8.1854523159563541E-12</v>
      </c>
      <c r="D27" s="312"/>
      <c r="E27" s="305"/>
      <c r="F27" s="318">
        <f t="shared" si="2"/>
        <v>8.1854523159563541E-12</v>
      </c>
      <c r="G27" s="284"/>
      <c r="H27" s="273"/>
      <c r="I27" s="452"/>
      <c r="J27" s="452"/>
    </row>
    <row r="28" spans="1:16" x14ac:dyDescent="0.2">
      <c r="A28" s="275"/>
      <c r="B28" s="320" t="s">
        <v>65</v>
      </c>
      <c r="C28" s="303">
        <f>'April 2022'!F28</f>
        <v>4.0000000009825953E-2</v>
      </c>
      <c r="D28" s="312"/>
      <c r="E28" s="312"/>
      <c r="F28" s="318">
        <f t="shared" si="2"/>
        <v>4.0000000009825953E-2</v>
      </c>
      <c r="G28" s="284"/>
      <c r="H28" s="273"/>
      <c r="I28" s="452"/>
      <c r="J28" s="452"/>
    </row>
    <row r="29" spans="1:16" x14ac:dyDescent="0.2">
      <c r="A29" s="275"/>
      <c r="B29" s="320" t="s">
        <v>86</v>
      </c>
      <c r="C29" s="303">
        <f>'April 2022'!F29</f>
        <v>129185.95</v>
      </c>
      <c r="D29" s="312"/>
      <c r="E29" s="312">
        <v>11726.84</v>
      </c>
      <c r="F29" s="318">
        <f t="shared" si="2"/>
        <v>117459.11</v>
      </c>
      <c r="G29" s="284"/>
      <c r="H29" s="273"/>
      <c r="I29" s="452"/>
      <c r="J29" s="452"/>
    </row>
    <row r="30" spans="1:16" x14ac:dyDescent="0.2">
      <c r="A30" s="275"/>
      <c r="B30" s="320" t="s">
        <v>101</v>
      </c>
      <c r="C30" s="303">
        <f>'April 2022'!F30</f>
        <v>124406</v>
      </c>
      <c r="D30" s="312"/>
      <c r="E30" s="312"/>
      <c r="F30" s="318">
        <f t="shared" si="2"/>
        <v>124406</v>
      </c>
      <c r="G30" s="284"/>
      <c r="H30" s="273"/>
      <c r="I30" s="452"/>
      <c r="J30" s="452"/>
    </row>
    <row r="31" spans="1:16" s="456" customFormat="1" x14ac:dyDescent="0.2">
      <c r="A31" s="275"/>
      <c r="B31" s="296" t="s">
        <v>44</v>
      </c>
      <c r="C31" s="303">
        <f>'April 2022'!F31</f>
        <v>48.079999999999984</v>
      </c>
      <c r="D31" s="312"/>
      <c r="E31" s="305">
        <f>322.93+58</f>
        <v>380.93</v>
      </c>
      <c r="F31" s="318">
        <f>C31+D31-E31</f>
        <v>-332.85</v>
      </c>
      <c r="G31" s="284"/>
      <c r="H31" s="273"/>
      <c r="I31" s="457"/>
      <c r="J31" s="457"/>
    </row>
    <row r="32" spans="1:16" x14ac:dyDescent="0.2">
      <c r="A32" s="310"/>
      <c r="B32" s="456" t="s">
        <v>111</v>
      </c>
      <c r="C32" s="467">
        <v>0</v>
      </c>
      <c r="D32" s="468"/>
      <c r="E32" s="456">
        <v>497.51</v>
      </c>
      <c r="F32" s="324">
        <f>C32+D32-E32</f>
        <v>-497.51</v>
      </c>
      <c r="G32" s="284"/>
      <c r="H32" s="273"/>
      <c r="I32" s="452"/>
      <c r="J32" s="319"/>
    </row>
    <row r="33" spans="1:16" x14ac:dyDescent="0.2">
      <c r="A33" s="809" t="s">
        <v>35</v>
      </c>
      <c r="B33" s="810"/>
      <c r="C33" s="298">
        <f>SUM(C34:C37)</f>
        <v>79210.17</v>
      </c>
      <c r="D33" s="313">
        <f>SUM(D34:D37)</f>
        <v>0</v>
      </c>
      <c r="E33" s="314">
        <f>SUM(E34:E36)</f>
        <v>1082.23</v>
      </c>
      <c r="F33" s="314">
        <f>SUM(F34:F37)</f>
        <v>78127.94</v>
      </c>
      <c r="G33" s="315">
        <f>SUM(G34:G36)</f>
        <v>35000</v>
      </c>
      <c r="H33" s="273"/>
      <c r="I33" s="273"/>
      <c r="P33" s="452"/>
    </row>
    <row r="34" spans="1:16" x14ac:dyDescent="0.2">
      <c r="A34" s="310"/>
      <c r="B34" s="296" t="s">
        <v>104</v>
      </c>
      <c r="C34" s="303">
        <v>26271.34</v>
      </c>
      <c r="D34" s="322"/>
      <c r="E34" s="323">
        <v>472.52</v>
      </c>
      <c r="F34" s="324">
        <f>C34+D34-E34</f>
        <v>25798.82</v>
      </c>
      <c r="G34" s="284"/>
      <c r="H34" s="273"/>
      <c r="I34" s="452"/>
      <c r="J34" s="319"/>
    </row>
    <row r="35" spans="1:16" x14ac:dyDescent="0.2">
      <c r="A35" s="310"/>
      <c r="B35" s="296" t="s">
        <v>90</v>
      </c>
      <c r="C35" s="303">
        <f>'April 2022'!F34</f>
        <v>24971.240000000005</v>
      </c>
      <c r="D35" s="322"/>
      <c r="E35" s="323">
        <v>152.43</v>
      </c>
      <c r="F35" s="324">
        <f t="shared" ref="F35" si="3">C35+D35-E35</f>
        <v>24818.810000000005</v>
      </c>
      <c r="G35" s="284">
        <v>35000</v>
      </c>
      <c r="H35" s="273"/>
      <c r="I35" s="452"/>
      <c r="J35" s="319"/>
    </row>
    <row r="36" spans="1:16" x14ac:dyDescent="0.2">
      <c r="A36" s="310"/>
      <c r="B36" s="325" t="s">
        <v>103</v>
      </c>
      <c r="C36" s="303">
        <f>'April 2022'!F35</f>
        <v>17417.589999999997</v>
      </c>
      <c r="D36" s="322"/>
      <c r="E36" s="305">
        <v>457.28</v>
      </c>
      <c r="F36" s="324">
        <f>C36+D36-E36</f>
        <v>16960.309999999998</v>
      </c>
      <c r="G36" s="284"/>
      <c r="H36" s="273"/>
      <c r="I36" s="293"/>
      <c r="J36" s="266"/>
      <c r="P36" s="326"/>
    </row>
    <row r="37" spans="1:16" ht="12" thickBot="1" x14ac:dyDescent="0.25">
      <c r="B37" s="451" t="s">
        <v>99</v>
      </c>
      <c r="C37" s="303">
        <f>'April 2022'!F36</f>
        <v>10550</v>
      </c>
      <c r="D37" s="464"/>
      <c r="F37" s="324">
        <f>C37+D37-E37</f>
        <v>10550</v>
      </c>
    </row>
    <row r="38" spans="1:16" ht="12" thickBot="1" x14ac:dyDescent="0.25">
      <c r="A38" s="794" t="s">
        <v>11</v>
      </c>
      <c r="B38" s="795"/>
      <c r="C38" s="466">
        <f>C33+C23+C17+C6+369.29</f>
        <v>544901.52</v>
      </c>
      <c r="D38" s="465">
        <f>SUM(D23,D17,D6,D33)</f>
        <v>4308.5</v>
      </c>
      <c r="E38" s="328">
        <f>SUM(E23,E17,E6,E33)</f>
        <v>27395.22</v>
      </c>
      <c r="F38" s="329">
        <f>SUM(F23,F17,F6,F33)+369.29</f>
        <v>521814.71999999991</v>
      </c>
      <c r="G38" s="330">
        <f>SUM(G6,G16,G23,G33)</f>
        <v>105000</v>
      </c>
      <c r="H38" s="452"/>
      <c r="I38" s="452"/>
      <c r="J38" s="331"/>
    </row>
    <row r="39" spans="1:16" hidden="1" x14ac:dyDescent="0.2">
      <c r="A39" s="455"/>
      <c r="B39" s="450"/>
      <c r="C39" s="452">
        <f>SUM(C17:C22)</f>
        <v>-21757.280000000002</v>
      </c>
      <c r="D39" s="452"/>
      <c r="E39" s="452"/>
      <c r="F39" s="452"/>
      <c r="G39" s="334"/>
      <c r="H39" s="452"/>
      <c r="K39" s="451" t="s">
        <v>12</v>
      </c>
      <c r="L39" s="451">
        <v>42.43</v>
      </c>
    </row>
    <row r="40" spans="1:16" ht="12" hidden="1" thickBot="1" x14ac:dyDescent="0.25">
      <c r="A40" s="335" t="s">
        <v>25</v>
      </c>
      <c r="B40" s="336"/>
      <c r="C40" s="337" t="e">
        <f>SUM(C38,#REF!)</f>
        <v>#REF!</v>
      </c>
      <c r="D40" s="338" t="e">
        <f>SUM(D38,#REF!)</f>
        <v>#REF!</v>
      </c>
      <c r="E40" s="338" t="e">
        <f>SUM(E38,#REF!)</f>
        <v>#REF!</v>
      </c>
      <c r="F40" s="339" t="e">
        <f>SUM(F38,#REF!)</f>
        <v>#REF!</v>
      </c>
      <c r="G40" s="334"/>
      <c r="H40" s="452"/>
      <c r="I40" s="331"/>
      <c r="J40" s="79">
        <v>206730.35</v>
      </c>
    </row>
    <row r="41" spans="1:16" ht="12" thickBot="1" x14ac:dyDescent="0.25">
      <c r="B41" s="340"/>
      <c r="C41" s="452"/>
      <c r="D41" s="452"/>
      <c r="E41" s="452"/>
      <c r="F41" s="452"/>
      <c r="G41" s="334"/>
      <c r="H41" s="341"/>
      <c r="I41" s="331"/>
      <c r="J41" s="79"/>
      <c r="P41" s="452"/>
    </row>
    <row r="42" spans="1:16" ht="12" thickBot="1" x14ac:dyDescent="0.25">
      <c r="A42" s="796" t="s">
        <v>13</v>
      </c>
      <c r="B42" s="797"/>
      <c r="C42" s="342" t="s">
        <v>2</v>
      </c>
      <c r="D42" s="342" t="s">
        <v>3</v>
      </c>
      <c r="E42" s="342" t="s">
        <v>27</v>
      </c>
      <c r="F42" s="342" t="s">
        <v>5</v>
      </c>
      <c r="G42" s="269"/>
      <c r="H42" s="331"/>
      <c r="I42" s="343"/>
    </row>
    <row r="43" spans="1:16" ht="12" thickBot="1" x14ac:dyDescent="0.25">
      <c r="A43" s="784" t="s">
        <v>14</v>
      </c>
      <c r="B43" s="785"/>
      <c r="C43" s="344">
        <f>'April 2022'!F42</f>
        <v>111.87</v>
      </c>
      <c r="D43" s="345">
        <v>200</v>
      </c>
      <c r="E43" s="345">
        <v>77.55</v>
      </c>
      <c r="F43" s="346">
        <f>C43+D43-E43</f>
        <v>234.32</v>
      </c>
      <c r="G43" s="452"/>
      <c r="I43" s="331"/>
      <c r="J43" s="79"/>
    </row>
    <row r="44" spans="1:16" ht="12" thickBot="1" x14ac:dyDescent="0.25">
      <c r="A44" s="798" t="s">
        <v>15</v>
      </c>
      <c r="B44" s="799"/>
      <c r="C44" s="344">
        <f>'April 2022'!F43</f>
        <v>3653.5600000000109</v>
      </c>
      <c r="D44" s="347">
        <v>24000</v>
      </c>
      <c r="E44" s="347">
        <v>23133.98</v>
      </c>
      <c r="F44" s="346">
        <f>C44+D44-E44</f>
        <v>4519.5800000000127</v>
      </c>
      <c r="G44" s="452"/>
      <c r="H44" s="349"/>
      <c r="I44" s="331"/>
    </row>
    <row r="45" spans="1:16" ht="12" thickBot="1" x14ac:dyDescent="0.25">
      <c r="A45" s="350"/>
      <c r="B45" s="351" t="s">
        <v>21</v>
      </c>
      <c r="C45" s="344">
        <f>'April 2022'!F44</f>
        <v>0</v>
      </c>
      <c r="D45" s="352"/>
      <c r="E45" s="352"/>
      <c r="F45" s="346">
        <f t="shared" ref="F45:F49" si="4">C45+D45-E45</f>
        <v>0</v>
      </c>
      <c r="G45" s="452"/>
      <c r="H45" s="349"/>
      <c r="I45" s="79"/>
    </row>
    <row r="46" spans="1:16" ht="12" thickBot="1" x14ac:dyDescent="0.25">
      <c r="A46" s="350"/>
      <c r="B46" s="351" t="s">
        <v>40</v>
      </c>
      <c r="C46" s="344">
        <f>'April 2022'!F45</f>
        <v>-2722.25</v>
      </c>
      <c r="D46" s="353">
        <v>2220.7399999999998</v>
      </c>
      <c r="E46" s="353">
        <v>3380.87</v>
      </c>
      <c r="F46" s="346">
        <f>C46+D46-E46-0.01</f>
        <v>-3882.3900000000003</v>
      </c>
      <c r="G46" s="452"/>
      <c r="H46" s="79"/>
      <c r="I46" s="79"/>
    </row>
    <row r="47" spans="1:16" ht="12" thickBot="1" x14ac:dyDescent="0.25">
      <c r="A47" s="784" t="s">
        <v>16</v>
      </c>
      <c r="B47" s="785"/>
      <c r="C47" s="344">
        <f>'April 2022'!F46</f>
        <v>309580.52000000008</v>
      </c>
      <c r="D47" s="355">
        <v>2067.7800000000002</v>
      </c>
      <c r="E47" s="355">
        <v>24000</v>
      </c>
      <c r="F47" s="346">
        <f t="shared" si="4"/>
        <v>287648.3000000001</v>
      </c>
      <c r="G47" s="452"/>
      <c r="H47" s="79"/>
      <c r="I47" s="79"/>
    </row>
    <row r="48" spans="1:16" ht="12" thickBot="1" x14ac:dyDescent="0.25">
      <c r="A48" s="357" t="s">
        <v>46</v>
      </c>
      <c r="B48" s="358"/>
      <c r="C48" s="344">
        <f>'April 2022'!F47</f>
        <v>234955.47999999995</v>
      </c>
      <c r="D48" s="322">
        <f>68.26+9000</f>
        <v>9068.26</v>
      </c>
      <c r="E48" s="322">
        <f>9000+51.08+1000</f>
        <v>10051.08</v>
      </c>
      <c r="F48" s="346">
        <f>C48+D48-E48</f>
        <v>233972.65999999997</v>
      </c>
      <c r="G48" s="452"/>
      <c r="H48" s="79"/>
      <c r="I48" s="79"/>
    </row>
    <row r="49" spans="1:16" ht="12" thickBot="1" x14ac:dyDescent="0.25">
      <c r="A49" s="800"/>
      <c r="B49" s="795"/>
      <c r="C49" s="360">
        <f>SUM(C43+C44+C47+C48+C46+C45)</f>
        <v>545579.18000000005</v>
      </c>
      <c r="D49" s="361">
        <f>SUM(D43:D48)</f>
        <v>37556.78</v>
      </c>
      <c r="E49" s="361">
        <f>SUM(E43:E48)</f>
        <v>60643.479999999996</v>
      </c>
      <c r="F49" s="346">
        <f t="shared" si="4"/>
        <v>522492.4800000001</v>
      </c>
      <c r="G49" s="452"/>
      <c r="H49" s="331"/>
      <c r="I49" s="79"/>
      <c r="J49" s="266"/>
    </row>
    <row r="50" spans="1:16" x14ac:dyDescent="0.2">
      <c r="A50" s="455"/>
      <c r="B50" s="450"/>
      <c r="C50" s="452">
        <f>C38-C49</f>
        <v>-677.6600000000326</v>
      </c>
      <c r="D50" s="452"/>
      <c r="E50" s="452"/>
      <c r="F50" s="452">
        <f>F38-F49</f>
        <v>-677.76000000018394</v>
      </c>
      <c r="H50" s="452"/>
      <c r="I50" s="331"/>
      <c r="J50" s="331"/>
      <c r="K50" s="266"/>
    </row>
    <row r="51" spans="1:16" x14ac:dyDescent="0.2">
      <c r="B51" s="340"/>
      <c r="C51" s="452"/>
      <c r="D51" s="452"/>
      <c r="E51" s="452"/>
      <c r="F51" s="452"/>
      <c r="G51" s="452"/>
      <c r="H51" s="452"/>
      <c r="I51" s="331"/>
    </row>
    <row r="52" spans="1:16" x14ac:dyDescent="0.2">
      <c r="A52" s="801" t="s">
        <v>17</v>
      </c>
      <c r="B52" s="801"/>
      <c r="C52" s="801"/>
      <c r="D52" s="801"/>
      <c r="E52" s="802" t="s">
        <v>18</v>
      </c>
      <c r="F52" s="802"/>
      <c r="G52" s="452"/>
      <c r="H52" s="452"/>
      <c r="J52" s="331"/>
    </row>
    <row r="53" spans="1:16" x14ac:dyDescent="0.2">
      <c r="C53" s="452"/>
      <c r="D53" s="452"/>
      <c r="E53" s="452"/>
      <c r="F53" s="452"/>
      <c r="G53" s="452"/>
      <c r="H53" s="452"/>
    </row>
    <row r="54" spans="1:16" x14ac:dyDescent="0.2">
      <c r="A54" s="801" t="s">
        <v>19</v>
      </c>
      <c r="B54" s="801"/>
      <c r="C54" s="801"/>
      <c r="D54" s="801"/>
      <c r="E54" s="802" t="s">
        <v>18</v>
      </c>
      <c r="F54" s="802"/>
      <c r="G54" s="452"/>
      <c r="H54" s="452"/>
    </row>
    <row r="55" spans="1:16" x14ac:dyDescent="0.2">
      <c r="A55" s="455"/>
      <c r="B55" s="450"/>
      <c r="C55" s="266"/>
      <c r="D55" s="266"/>
      <c r="E55" s="266"/>
      <c r="F55" s="79"/>
      <c r="G55" s="266"/>
      <c r="H55" s="266"/>
      <c r="I55" s="331"/>
      <c r="J55" s="79"/>
      <c r="P55" s="364"/>
    </row>
    <row r="56" spans="1:16" x14ac:dyDescent="0.2">
      <c r="B56" s="340"/>
      <c r="C56" s="331"/>
      <c r="D56" s="331"/>
      <c r="E56" s="331"/>
      <c r="F56" s="331"/>
      <c r="I56" s="331"/>
      <c r="J56" s="343"/>
      <c r="L56" s="266"/>
      <c r="P56" s="364"/>
    </row>
    <row r="57" spans="1:16" x14ac:dyDescent="0.2">
      <c r="B57" s="340"/>
      <c r="C57" s="79"/>
      <c r="D57" s="331"/>
      <c r="F57" s="331"/>
      <c r="J57" s="331"/>
    </row>
  </sheetData>
  <mergeCells count="17">
    <mergeCell ref="A49:B49"/>
    <mergeCell ref="A52:D52"/>
    <mergeCell ref="E52:F52"/>
    <mergeCell ref="A54:D54"/>
    <mergeCell ref="E54:F54"/>
    <mergeCell ref="A47:B47"/>
    <mergeCell ref="A2:G2"/>
    <mergeCell ref="A3:G3"/>
    <mergeCell ref="A5:B5"/>
    <mergeCell ref="A6:B6"/>
    <mergeCell ref="A17:B17"/>
    <mergeCell ref="A23:B23"/>
    <mergeCell ref="A33:B33"/>
    <mergeCell ref="A38:B38"/>
    <mergeCell ref="A42:B42"/>
    <mergeCell ref="A43:B43"/>
    <mergeCell ref="A44:B44"/>
  </mergeCells>
  <pageMargins left="0.7" right="0.7" top="0.75" bottom="0.75" header="0.3" footer="0.3"/>
  <pageSetup orientation="portrait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F8B35-450F-47C3-9C99-966672AC9BFA}">
  <dimension ref="A1:R57"/>
  <sheetViews>
    <sheetView topLeftCell="A2" zoomScale="120" zoomScaleNormal="120" workbookViewId="0">
      <selection activeCell="E8" sqref="E8"/>
    </sheetView>
  </sheetViews>
  <sheetFormatPr defaultColWidth="9.140625" defaultRowHeight="11.25" x14ac:dyDescent="0.2"/>
  <cols>
    <col min="1" max="1" width="10.7109375" style="462" customWidth="1"/>
    <col min="2" max="2" width="28.140625" style="462" customWidth="1"/>
    <col min="3" max="3" width="10.5703125" style="462" customWidth="1"/>
    <col min="4" max="4" width="9.42578125" style="462" customWidth="1"/>
    <col min="5" max="5" width="9.140625" style="462"/>
    <col min="6" max="6" width="10.28515625" style="462" customWidth="1"/>
    <col min="7" max="7" width="8.85546875" style="462" customWidth="1"/>
    <col min="8" max="8" width="12.140625" style="462" customWidth="1"/>
    <col min="9" max="9" width="14.7109375" style="462" customWidth="1"/>
    <col min="10" max="10" width="14.5703125" style="462" customWidth="1"/>
    <col min="11" max="11" width="11.28515625" style="462" customWidth="1"/>
    <col min="12" max="15" width="9.140625" style="462"/>
    <col min="16" max="16" width="13" style="462" customWidth="1"/>
    <col min="17" max="16384" width="9.140625" style="462"/>
  </cols>
  <sheetData>
    <row r="1" spans="1:18" hidden="1" x14ac:dyDescent="0.2"/>
    <row r="2" spans="1:18" x14ac:dyDescent="0.2">
      <c r="A2" s="786" t="s">
        <v>0</v>
      </c>
      <c r="B2" s="786"/>
      <c r="C2" s="786"/>
      <c r="D2" s="786"/>
      <c r="E2" s="786"/>
      <c r="F2" s="786"/>
      <c r="G2" s="786"/>
      <c r="H2" s="458"/>
    </row>
    <row r="3" spans="1:18" x14ac:dyDescent="0.2">
      <c r="A3" s="787" t="s">
        <v>112</v>
      </c>
      <c r="B3" s="787"/>
      <c r="C3" s="787"/>
      <c r="D3" s="787"/>
      <c r="E3" s="787"/>
      <c r="F3" s="787"/>
      <c r="G3" s="787"/>
      <c r="H3" s="459"/>
    </row>
    <row r="4" spans="1:18" ht="12" thickBot="1" x14ac:dyDescent="0.25">
      <c r="B4" s="265" t="s">
        <v>37</v>
      </c>
      <c r="F4" s="266"/>
      <c r="I4" s="267"/>
    </row>
    <row r="5" spans="1:18" x14ac:dyDescent="0.2">
      <c r="A5" s="788" t="s">
        <v>1</v>
      </c>
      <c r="B5" s="789"/>
      <c r="C5" s="268" t="s">
        <v>2</v>
      </c>
      <c r="D5" s="268" t="s">
        <v>3</v>
      </c>
      <c r="E5" s="268" t="s">
        <v>58</v>
      </c>
      <c r="F5" s="268" t="s">
        <v>5</v>
      </c>
      <c r="G5" s="268" t="s">
        <v>6</v>
      </c>
      <c r="H5" s="269"/>
      <c r="I5" s="269"/>
    </row>
    <row r="6" spans="1:18" ht="15" x14ac:dyDescent="0.25">
      <c r="A6" s="803" t="s">
        <v>7</v>
      </c>
      <c r="B6" s="804"/>
      <c r="C6" s="270">
        <f>SUM(C7:C16)</f>
        <v>203834.13999999993</v>
      </c>
      <c r="D6" s="271">
        <f>SUM(D7:D16)</f>
        <v>1125.8699999999999</v>
      </c>
      <c r="E6" s="271">
        <f>SUM(E7:E16)</f>
        <v>-3252.2000000000003</v>
      </c>
      <c r="F6" s="271">
        <f>SUM(F7:F16)</f>
        <v>208212.20999999993</v>
      </c>
      <c r="G6" s="272">
        <f>SUM(G7:G15)</f>
        <v>0</v>
      </c>
      <c r="H6" s="273"/>
      <c r="I6" s="273"/>
      <c r="J6" s="273"/>
      <c r="K6" s="463"/>
      <c r="P6" s="463"/>
      <c r="R6" s="463"/>
    </row>
    <row r="7" spans="1:18" ht="12" customHeight="1" x14ac:dyDescent="0.2">
      <c r="A7" s="275"/>
      <c r="B7" s="276" t="s">
        <v>23</v>
      </c>
      <c r="C7" s="277">
        <f>'May 2022'!F7</f>
        <v>208930.93999999994</v>
      </c>
      <c r="D7" s="278">
        <f>900+149.87</f>
        <v>1049.8699999999999</v>
      </c>
      <c r="E7" s="430">
        <f>1599.59+1154.5+159.99+201.56+152.1+906+1000-9907.67</f>
        <v>-4733.93</v>
      </c>
      <c r="F7" s="279">
        <f>C7+D7-E7</f>
        <v>214714.73999999993</v>
      </c>
      <c r="G7" s="280"/>
      <c r="H7" s="281"/>
      <c r="I7" s="463"/>
    </row>
    <row r="8" spans="1:18" x14ac:dyDescent="0.2">
      <c r="A8" s="282"/>
      <c r="B8" s="283" t="s">
        <v>62</v>
      </c>
      <c r="C8" s="277">
        <f>'May 2022'!F8</f>
        <v>-7348.34</v>
      </c>
      <c r="D8" s="284"/>
      <c r="E8" s="284">
        <v>1281.02</v>
      </c>
      <c r="F8" s="286">
        <f t="shared" ref="F8:F15" si="0">C8+D8-E8</f>
        <v>-8629.36</v>
      </c>
      <c r="G8" s="280"/>
      <c r="H8" s="273"/>
      <c r="I8" s="287"/>
    </row>
    <row r="9" spans="1:18" hidden="1" x14ac:dyDescent="0.2">
      <c r="A9" s="282"/>
      <c r="B9" s="288" t="s">
        <v>67</v>
      </c>
      <c r="C9" s="277">
        <f>'May 2022'!F9</f>
        <v>0</v>
      </c>
      <c r="D9" s="284"/>
      <c r="E9" s="284"/>
      <c r="F9" s="279">
        <f t="shared" si="0"/>
        <v>0</v>
      </c>
      <c r="G9" s="280"/>
      <c r="H9" s="273"/>
      <c r="I9" s="289"/>
      <c r="J9" s="463"/>
    </row>
    <row r="10" spans="1:18" hidden="1" x14ac:dyDescent="0.2">
      <c r="A10" s="282"/>
      <c r="B10" s="288" t="s">
        <v>41</v>
      </c>
      <c r="C10" s="277">
        <f>'May 2022'!F10</f>
        <v>-1.0000000002037268E-2</v>
      </c>
      <c r="D10" s="290"/>
      <c r="E10" s="290"/>
      <c r="F10" s="286">
        <f t="shared" si="0"/>
        <v>-1.0000000002037268E-2</v>
      </c>
      <c r="G10" s="280"/>
      <c r="H10" s="273"/>
      <c r="I10" s="291"/>
      <c r="J10" s="463"/>
    </row>
    <row r="11" spans="1:18" hidden="1" x14ac:dyDescent="0.2">
      <c r="A11" s="282"/>
      <c r="B11" s="288" t="s">
        <v>29</v>
      </c>
      <c r="C11" s="277">
        <f>'May 2022'!F11</f>
        <v>0</v>
      </c>
      <c r="D11" s="292"/>
      <c r="E11" s="292"/>
      <c r="F11" s="279">
        <f t="shared" si="0"/>
        <v>0</v>
      </c>
      <c r="G11" s="280"/>
      <c r="H11" s="273"/>
      <c r="I11" s="293"/>
    </row>
    <row r="12" spans="1:18" x14ac:dyDescent="0.2">
      <c r="A12" s="282"/>
      <c r="B12" s="288" t="s">
        <v>20</v>
      </c>
      <c r="C12" s="277">
        <f>'May 2022'!F12</f>
        <v>2584.5500000000011</v>
      </c>
      <c r="D12" s="294">
        <v>73.680000000000007</v>
      </c>
      <c r="E12" s="294">
        <f>22.98</f>
        <v>22.98</v>
      </c>
      <c r="F12" s="295">
        <f>C12+D12-E12</f>
        <v>2635.2500000000009</v>
      </c>
      <c r="G12" s="280"/>
      <c r="H12" s="273" t="s">
        <v>107</v>
      </c>
      <c r="I12" s="463"/>
    </row>
    <row r="13" spans="1:18" x14ac:dyDescent="0.2">
      <c r="A13" s="282"/>
      <c r="B13" s="288" t="s">
        <v>22</v>
      </c>
      <c r="C13" s="277">
        <f>'May 2022'!F13</f>
        <v>185.11999999999989</v>
      </c>
      <c r="D13" s="294">
        <v>2.3199999999999998</v>
      </c>
      <c r="E13" s="294"/>
      <c r="F13" s="295">
        <f>C13+D13-E13</f>
        <v>187.43999999999988</v>
      </c>
      <c r="G13" s="280"/>
      <c r="H13" s="273"/>
      <c r="I13" s="463"/>
    </row>
    <row r="14" spans="1:18" x14ac:dyDescent="0.2">
      <c r="A14" s="282"/>
      <c r="B14" s="288" t="s">
        <v>28</v>
      </c>
      <c r="C14" s="277">
        <f>'May 2022'!F14</f>
        <v>-245.21000000000112</v>
      </c>
      <c r="D14" s="294"/>
      <c r="E14" s="294"/>
      <c r="F14" s="286">
        <f t="shared" si="0"/>
        <v>-245.21000000000112</v>
      </c>
      <c r="G14" s="280"/>
      <c r="H14" s="273"/>
      <c r="I14" s="463"/>
    </row>
    <row r="15" spans="1:18" x14ac:dyDescent="0.2">
      <c r="A15" s="282"/>
      <c r="B15" s="296" t="s">
        <v>42</v>
      </c>
      <c r="C15" s="277">
        <f>'May 2022'!F15</f>
        <v>323.98</v>
      </c>
      <c r="D15" s="284"/>
      <c r="E15" s="284">
        <v>177.73</v>
      </c>
      <c r="F15" s="297">
        <f t="shared" si="0"/>
        <v>146.25000000000003</v>
      </c>
      <c r="G15" s="280"/>
      <c r="H15" s="273"/>
      <c r="I15" s="463"/>
    </row>
    <row r="16" spans="1:18" x14ac:dyDescent="0.2">
      <c r="A16" s="282"/>
      <c r="B16" s="296" t="s">
        <v>43</v>
      </c>
      <c r="C16" s="277">
        <f>'May 2022'!F16</f>
        <v>-596.89000000000033</v>
      </c>
      <c r="D16" s="284"/>
      <c r="E16" s="284"/>
      <c r="F16" s="295">
        <f>C16+D16-E16</f>
        <v>-596.89000000000033</v>
      </c>
      <c r="G16" s="280"/>
      <c r="H16" s="273"/>
      <c r="I16" s="273"/>
      <c r="P16" s="463"/>
    </row>
    <row r="17" spans="1:16" ht="15" x14ac:dyDescent="0.25">
      <c r="A17" s="805" t="s">
        <v>53</v>
      </c>
      <c r="B17" s="806"/>
      <c r="C17" s="298">
        <f>SUM(C18:C22)</f>
        <v>-20261.440000000002</v>
      </c>
      <c r="D17" s="299">
        <f>SUM(D18:D22)</f>
        <v>0</v>
      </c>
      <c r="E17" s="299">
        <f>SUM(E18:E22)</f>
        <v>4178.8899999999994</v>
      </c>
      <c r="F17" s="286">
        <f>SUM(F18:F22)</f>
        <v>-24440.33</v>
      </c>
      <c r="G17" s="300"/>
      <c r="H17" s="273"/>
      <c r="I17" s="273"/>
      <c r="P17" s="463"/>
    </row>
    <row r="18" spans="1:16" x14ac:dyDescent="0.2">
      <c r="A18" s="301"/>
      <c r="B18" s="302" t="s">
        <v>9</v>
      </c>
      <c r="C18" s="303">
        <f>'May 2022'!F18</f>
        <v>-9260.2400000000016</v>
      </c>
      <c r="D18" s="304"/>
      <c r="E18" s="305"/>
      <c r="F18" s="306">
        <f>C18+D18-E18</f>
        <v>-9260.2400000000016</v>
      </c>
      <c r="G18" s="284">
        <v>15176</v>
      </c>
      <c r="H18" s="273" t="s">
        <v>107</v>
      </c>
      <c r="I18" s="463"/>
      <c r="J18" s="79"/>
    </row>
    <row r="19" spans="1:16" x14ac:dyDescent="0.2">
      <c r="A19" s="282"/>
      <c r="B19" s="307" t="s">
        <v>8</v>
      </c>
      <c r="C19" s="303">
        <f>'May 2022'!F19</f>
        <v>-3538.3000000000015</v>
      </c>
      <c r="D19" s="294"/>
      <c r="E19" s="290">
        <f>1889.09+1198.56</f>
        <v>3087.6499999999996</v>
      </c>
      <c r="F19" s="306">
        <f>C19+D19-E19</f>
        <v>-6625.9500000000007</v>
      </c>
      <c r="G19" s="308"/>
      <c r="H19" s="273"/>
      <c r="I19" s="463"/>
    </row>
    <row r="20" spans="1:16" x14ac:dyDescent="0.2">
      <c r="A20" s="282"/>
      <c r="B20" s="307" t="s">
        <v>32</v>
      </c>
      <c r="C20" s="303">
        <f>'May 2022'!F20</f>
        <v>-1569.9900000000005</v>
      </c>
      <c r="D20" s="294"/>
      <c r="E20" s="290">
        <v>332.12</v>
      </c>
      <c r="F20" s="306">
        <f t="shared" ref="F20:F22" si="1">C20+D20-E20</f>
        <v>-1902.1100000000006</v>
      </c>
      <c r="G20" s="309">
        <v>5000</v>
      </c>
      <c r="H20" s="273" t="s">
        <v>107</v>
      </c>
      <c r="I20" s="463"/>
    </row>
    <row r="21" spans="1:16" hidden="1" x14ac:dyDescent="0.2">
      <c r="A21" s="282"/>
      <c r="B21" s="307" t="s">
        <v>67</v>
      </c>
      <c r="C21" s="303">
        <f>'May 2022'!F21</f>
        <v>-9.0951551845463996E-15</v>
      </c>
      <c r="D21" s="294"/>
      <c r="E21" s="294"/>
      <c r="F21" s="306">
        <f t="shared" si="1"/>
        <v>-9.0951551845463996E-15</v>
      </c>
      <c r="G21" s="309"/>
      <c r="H21" s="273"/>
      <c r="I21" s="463"/>
    </row>
    <row r="22" spans="1:16" x14ac:dyDescent="0.2">
      <c r="A22" s="310"/>
      <c r="B22" s="311" t="s">
        <v>38</v>
      </c>
      <c r="C22" s="303">
        <f>'May 2022'!F22</f>
        <v>-5892.91</v>
      </c>
      <c r="D22" s="312"/>
      <c r="E22" s="305">
        <v>759.12</v>
      </c>
      <c r="F22" s="306">
        <f t="shared" si="1"/>
        <v>-6652.03</v>
      </c>
      <c r="G22" s="284">
        <v>8500</v>
      </c>
      <c r="H22" s="273" t="s">
        <v>107</v>
      </c>
      <c r="I22" s="463"/>
      <c r="J22" s="79"/>
    </row>
    <row r="23" spans="1:16" x14ac:dyDescent="0.2">
      <c r="A23" s="807" t="s">
        <v>10</v>
      </c>
      <c r="B23" s="808"/>
      <c r="C23" s="298">
        <f>SUM(C24:C32)</f>
        <v>259744.87</v>
      </c>
      <c r="D23" s="313">
        <f>SUM(D24:D31)</f>
        <v>0</v>
      </c>
      <c r="E23" s="314">
        <f>SUM(E24:E32)</f>
        <v>17989.259999999998</v>
      </c>
      <c r="F23" s="314">
        <f>SUM(F24:F32)-0.08</f>
        <v>241755.53000000003</v>
      </c>
      <c r="G23" s="315">
        <f>SUM(G32:G36)</f>
        <v>70000</v>
      </c>
      <c r="H23" s="273"/>
      <c r="I23" s="273"/>
      <c r="P23" s="463"/>
    </row>
    <row r="24" spans="1:16" hidden="1" x14ac:dyDescent="0.2">
      <c r="A24" s="301"/>
      <c r="B24" s="316" t="s">
        <v>55</v>
      </c>
      <c r="C24" s="303">
        <f>'February 2021'!G24</f>
        <v>0</v>
      </c>
      <c r="D24" s="317"/>
      <c r="E24" s="304"/>
      <c r="F24" s="318">
        <f>C24+D24-E24</f>
        <v>0</v>
      </c>
      <c r="G24" s="278"/>
      <c r="H24" s="273"/>
      <c r="I24" s="463"/>
      <c r="J24" s="319"/>
    </row>
    <row r="25" spans="1:16" hidden="1" x14ac:dyDescent="0.2">
      <c r="A25" s="310"/>
      <c r="B25" s="296" t="s">
        <v>70</v>
      </c>
      <c r="C25" s="303">
        <f>'January 2022'!F25</f>
        <v>7.9999999998108251E-2</v>
      </c>
      <c r="D25" s="312"/>
      <c r="E25" s="312"/>
      <c r="F25" s="318">
        <f>C25+D25-E25</f>
        <v>7.9999999998108251E-2</v>
      </c>
      <c r="G25" s="284"/>
      <c r="H25" s="273"/>
      <c r="I25" s="463"/>
      <c r="J25" s="319"/>
    </row>
    <row r="26" spans="1:16" x14ac:dyDescent="0.2">
      <c r="A26" s="275"/>
      <c r="B26" s="320" t="s">
        <v>105</v>
      </c>
      <c r="C26" s="303">
        <f>'May 2022'!F26</f>
        <v>18710.000000000007</v>
      </c>
      <c r="D26" s="305"/>
      <c r="E26" s="321">
        <v>2688.55</v>
      </c>
      <c r="F26" s="318">
        <f t="shared" ref="F26:F30" si="2">C26+D26-E26</f>
        <v>16021.450000000008</v>
      </c>
      <c r="G26" s="284"/>
      <c r="H26" s="273"/>
      <c r="I26" s="463"/>
      <c r="J26" s="463"/>
    </row>
    <row r="27" spans="1:16" hidden="1" x14ac:dyDescent="0.2">
      <c r="A27" s="275"/>
      <c r="B27" s="320" t="s">
        <v>39</v>
      </c>
      <c r="C27" s="303">
        <f>'May 2022'!F27</f>
        <v>8.1854523159563541E-12</v>
      </c>
      <c r="D27" s="312"/>
      <c r="E27" s="305"/>
      <c r="F27" s="318">
        <f t="shared" si="2"/>
        <v>8.1854523159563541E-12</v>
      </c>
      <c r="G27" s="284"/>
      <c r="H27" s="273"/>
      <c r="I27" s="463"/>
      <c r="J27" s="463"/>
    </row>
    <row r="28" spans="1:16" x14ac:dyDescent="0.2">
      <c r="A28" s="275"/>
      <c r="B28" s="320" t="s">
        <v>65</v>
      </c>
      <c r="C28" s="303">
        <f>'May 2022'!F28</f>
        <v>4.0000000009825953E-2</v>
      </c>
      <c r="D28" s="312"/>
      <c r="E28" s="312"/>
      <c r="F28" s="318">
        <f t="shared" si="2"/>
        <v>4.0000000009825953E-2</v>
      </c>
      <c r="G28" s="284"/>
      <c r="H28" s="273"/>
      <c r="I28" s="463"/>
      <c r="J28" s="463"/>
    </row>
    <row r="29" spans="1:16" x14ac:dyDescent="0.2">
      <c r="A29" s="275"/>
      <c r="B29" s="320" t="s">
        <v>86</v>
      </c>
      <c r="C29" s="303">
        <f>'May 2022'!F29</f>
        <v>117459.11</v>
      </c>
      <c r="D29" s="312"/>
      <c r="E29" s="312">
        <v>13404.54</v>
      </c>
      <c r="F29" s="318">
        <f t="shared" si="2"/>
        <v>104054.57</v>
      </c>
      <c r="G29" s="284"/>
      <c r="H29" s="273"/>
      <c r="I29" s="463"/>
      <c r="J29" s="463"/>
    </row>
    <row r="30" spans="1:16" x14ac:dyDescent="0.2">
      <c r="A30" s="275"/>
      <c r="B30" s="320" t="s">
        <v>101</v>
      </c>
      <c r="C30" s="303">
        <f>'May 2022'!F30</f>
        <v>124406</v>
      </c>
      <c r="D30" s="312"/>
      <c r="E30" s="312"/>
      <c r="F30" s="318">
        <f t="shared" si="2"/>
        <v>124406</v>
      </c>
      <c r="G30" s="284"/>
      <c r="H30" s="273"/>
      <c r="I30" s="463"/>
      <c r="J30" s="463"/>
    </row>
    <row r="31" spans="1:16" x14ac:dyDescent="0.2">
      <c r="A31" s="275"/>
      <c r="B31" s="296" t="s">
        <v>44</v>
      </c>
      <c r="C31" s="303">
        <f>'May 2022'!F31</f>
        <v>-332.85</v>
      </c>
      <c r="D31" s="312"/>
      <c r="E31" s="305">
        <v>1413.05</v>
      </c>
      <c r="F31" s="318">
        <f>C31+D31-E31</f>
        <v>-1745.9</v>
      </c>
      <c r="G31" s="284"/>
      <c r="H31" s="273"/>
      <c r="I31" s="463"/>
      <c r="J31" s="463"/>
    </row>
    <row r="32" spans="1:16" x14ac:dyDescent="0.2">
      <c r="A32" s="310"/>
      <c r="B32" s="462" t="s">
        <v>111</v>
      </c>
      <c r="C32" s="303">
        <f>'May 2022'!F32</f>
        <v>-497.51</v>
      </c>
      <c r="D32" s="468"/>
      <c r="E32" s="462">
        <v>483.12</v>
      </c>
      <c r="F32" s="324">
        <f>C32+D32-E32</f>
        <v>-980.63</v>
      </c>
      <c r="G32" s="284"/>
      <c r="H32" s="273"/>
      <c r="I32" s="463"/>
      <c r="J32" s="319"/>
    </row>
    <row r="33" spans="1:16" x14ac:dyDescent="0.2">
      <c r="A33" s="809" t="s">
        <v>35</v>
      </c>
      <c r="B33" s="810"/>
      <c r="C33" s="298">
        <f>SUM(C34:C37)</f>
        <v>78127.94</v>
      </c>
      <c r="D33" s="313">
        <f>SUM(D34:D37)</f>
        <v>0</v>
      </c>
      <c r="E33" s="314">
        <f>SUM(E34:E36)</f>
        <v>806.56999999999994</v>
      </c>
      <c r="F33" s="314">
        <f>SUM(F34:F37)</f>
        <v>77321.37000000001</v>
      </c>
      <c r="G33" s="315">
        <f>SUM(G34:G36)</f>
        <v>35000</v>
      </c>
      <c r="H33" s="273"/>
      <c r="I33" s="273"/>
      <c r="P33" s="463"/>
    </row>
    <row r="34" spans="1:16" x14ac:dyDescent="0.2">
      <c r="A34" s="310"/>
      <c r="B34" s="296" t="s">
        <v>104</v>
      </c>
      <c r="C34" s="303">
        <f>'May 2022'!F34</f>
        <v>25798.82</v>
      </c>
      <c r="D34" s="322"/>
      <c r="E34" s="323">
        <v>268.86</v>
      </c>
      <c r="F34" s="324">
        <f>C34+D34-E34</f>
        <v>25529.96</v>
      </c>
      <c r="G34" s="284"/>
      <c r="H34" s="273"/>
      <c r="I34" s="463"/>
      <c r="J34" s="319"/>
    </row>
    <row r="35" spans="1:16" x14ac:dyDescent="0.2">
      <c r="A35" s="310"/>
      <c r="B35" s="296" t="s">
        <v>90</v>
      </c>
      <c r="C35" s="303">
        <f>'May 2022'!F35</f>
        <v>24818.810000000005</v>
      </c>
      <c r="D35" s="322"/>
      <c r="E35" s="323">
        <v>63.26</v>
      </c>
      <c r="F35" s="324">
        <f t="shared" ref="F35" si="3">C35+D35-E35</f>
        <v>24755.550000000007</v>
      </c>
      <c r="G35" s="284">
        <v>35000</v>
      </c>
      <c r="H35" s="273"/>
      <c r="I35" s="463"/>
      <c r="J35" s="319"/>
    </row>
    <row r="36" spans="1:16" x14ac:dyDescent="0.2">
      <c r="A36" s="310"/>
      <c r="B36" s="325" t="s">
        <v>103</v>
      </c>
      <c r="C36" s="303">
        <f>'May 2022'!F36</f>
        <v>16960.309999999998</v>
      </c>
      <c r="D36" s="322"/>
      <c r="E36" s="305">
        <v>474.45</v>
      </c>
      <c r="F36" s="324">
        <f>C36+D36-E36</f>
        <v>16485.859999999997</v>
      </c>
      <c r="G36" s="284"/>
      <c r="H36" s="273"/>
      <c r="I36" s="293"/>
      <c r="J36" s="266"/>
      <c r="P36" s="326"/>
    </row>
    <row r="37" spans="1:16" ht="12" thickBot="1" x14ac:dyDescent="0.25">
      <c r="B37" s="462" t="s">
        <v>99</v>
      </c>
      <c r="C37" s="303">
        <f>'May 2022'!F37</f>
        <v>10550</v>
      </c>
      <c r="D37" s="464"/>
      <c r="F37" s="324">
        <f>C37+D37-E37</f>
        <v>10550</v>
      </c>
    </row>
    <row r="38" spans="1:16" ht="12" thickBot="1" x14ac:dyDescent="0.25">
      <c r="A38" s="794" t="s">
        <v>11</v>
      </c>
      <c r="B38" s="795"/>
      <c r="C38" s="466">
        <f>C33+C23+C17+C6+369.29</f>
        <v>521814.79999999987</v>
      </c>
      <c r="D38" s="465">
        <f>SUM(D23,D17,D6,D33)</f>
        <v>1125.8699999999999</v>
      </c>
      <c r="E38" s="328">
        <f>SUM(E23,E17,E6,E33)</f>
        <v>19722.519999999997</v>
      </c>
      <c r="F38" s="329">
        <f>SUM(F23,F17,F6,F33)+369.29</f>
        <v>503218.06999999989</v>
      </c>
      <c r="G38" s="330">
        <f>SUM(G6,G16,G23,G33)</f>
        <v>105000</v>
      </c>
      <c r="H38" s="463"/>
      <c r="I38" s="463"/>
      <c r="J38" s="331"/>
    </row>
    <row r="39" spans="1:16" hidden="1" x14ac:dyDescent="0.2">
      <c r="A39" s="460"/>
      <c r="B39" s="461"/>
      <c r="C39" s="463">
        <f>SUM(C17:C22)</f>
        <v>-40522.880000000005</v>
      </c>
      <c r="D39" s="463"/>
      <c r="E39" s="463"/>
      <c r="F39" s="463"/>
      <c r="G39" s="334"/>
      <c r="H39" s="463"/>
      <c r="K39" s="462" t="s">
        <v>12</v>
      </c>
      <c r="L39" s="462">
        <v>42.43</v>
      </c>
    </row>
    <row r="40" spans="1:16" ht="12" hidden="1" thickBot="1" x14ac:dyDescent="0.25">
      <c r="A40" s="335" t="s">
        <v>25</v>
      </c>
      <c r="B40" s="336"/>
      <c r="C40" s="337" t="e">
        <f>SUM(C38,#REF!)</f>
        <v>#REF!</v>
      </c>
      <c r="D40" s="338" t="e">
        <f>SUM(D38,#REF!)</f>
        <v>#REF!</v>
      </c>
      <c r="E40" s="338" t="e">
        <f>SUM(E38,#REF!)</f>
        <v>#REF!</v>
      </c>
      <c r="F40" s="339" t="e">
        <f>SUM(F38,#REF!)</f>
        <v>#REF!</v>
      </c>
      <c r="G40" s="334"/>
      <c r="H40" s="463"/>
      <c r="I40" s="331"/>
      <c r="J40" s="79">
        <v>206730.35</v>
      </c>
    </row>
    <row r="41" spans="1:16" ht="12" thickBot="1" x14ac:dyDescent="0.25">
      <c r="B41" s="340"/>
      <c r="C41" s="463"/>
      <c r="D41" s="463"/>
      <c r="E41" s="463"/>
      <c r="F41" s="463"/>
      <c r="G41" s="334"/>
      <c r="H41" s="341"/>
      <c r="I41" s="331"/>
      <c r="J41" s="79"/>
      <c r="P41" s="463"/>
    </row>
    <row r="42" spans="1:16" ht="12" thickBot="1" x14ac:dyDescent="0.25">
      <c r="A42" s="796" t="s">
        <v>13</v>
      </c>
      <c r="B42" s="797"/>
      <c r="C42" s="342" t="s">
        <v>2</v>
      </c>
      <c r="D42" s="342" t="s">
        <v>3</v>
      </c>
      <c r="E42" s="342" t="s">
        <v>27</v>
      </c>
      <c r="F42" s="342" t="s">
        <v>5</v>
      </c>
      <c r="G42" s="269"/>
      <c r="H42" s="331"/>
      <c r="I42" s="343"/>
    </row>
    <row r="43" spans="1:16" ht="12" thickBot="1" x14ac:dyDescent="0.25">
      <c r="A43" s="784" t="s">
        <v>14</v>
      </c>
      <c r="B43" s="785"/>
      <c r="C43" s="344">
        <f>'May 2022'!F43</f>
        <v>234.32</v>
      </c>
      <c r="D43" s="345">
        <v>20</v>
      </c>
      <c r="E43" s="345">
        <v>50.23</v>
      </c>
      <c r="F43" s="346">
        <f>C43+D43-E43</f>
        <v>204.09</v>
      </c>
      <c r="G43" s="463"/>
      <c r="I43" s="331"/>
      <c r="J43" s="79"/>
    </row>
    <row r="44" spans="1:16" ht="12" thickBot="1" x14ac:dyDescent="0.25">
      <c r="A44" s="798" t="s">
        <v>15</v>
      </c>
      <c r="B44" s="799"/>
      <c r="C44" s="344">
        <f>'May 2022'!F44</f>
        <v>4519.5800000000127</v>
      </c>
      <c r="D44" s="347">
        <v>34000</v>
      </c>
      <c r="E44" s="347">
        <v>22410.86</v>
      </c>
      <c r="F44" s="346">
        <f>C44+D44-E44+0.04</f>
        <v>16108.760000000017</v>
      </c>
      <c r="G44" s="463"/>
      <c r="H44" s="349"/>
      <c r="I44" s="331"/>
    </row>
    <row r="45" spans="1:16" ht="12" thickBot="1" x14ac:dyDescent="0.25">
      <c r="A45" s="350"/>
      <c r="B45" s="351" t="s">
        <v>21</v>
      </c>
      <c r="C45" s="344">
        <f>'May 2022'!F45</f>
        <v>0</v>
      </c>
      <c r="D45" s="352"/>
      <c r="E45" s="352"/>
      <c r="F45" s="346">
        <f t="shared" ref="F45:F47" si="4">C45+D45-E45</f>
        <v>0</v>
      </c>
      <c r="G45" s="463"/>
      <c r="H45" s="349"/>
      <c r="I45" s="79"/>
    </row>
    <row r="46" spans="1:16" ht="12" thickBot="1" x14ac:dyDescent="0.25">
      <c r="A46" s="350"/>
      <c r="B46" s="351" t="s">
        <v>40</v>
      </c>
      <c r="C46" s="344">
        <f>'May 2022'!F46</f>
        <v>-3882.3900000000003</v>
      </c>
      <c r="D46" s="353">
        <v>3380.87</v>
      </c>
      <c r="E46" s="353">
        <v>1952.79</v>
      </c>
      <c r="F46" s="346">
        <f>C46+D46-E46</f>
        <v>-2454.3100000000004</v>
      </c>
      <c r="G46" s="463"/>
      <c r="H46" s="79"/>
      <c r="I46" s="79"/>
    </row>
    <row r="47" spans="1:16" ht="12" thickBot="1" x14ac:dyDescent="0.25">
      <c r="A47" s="784" t="s">
        <v>16</v>
      </c>
      <c r="B47" s="785"/>
      <c r="C47" s="344">
        <f>'May 2022'!F47</f>
        <v>287648.3000000001</v>
      </c>
      <c r="D47" s="355">
        <v>3455.97</v>
      </c>
      <c r="E47" s="355">
        <v>34000</v>
      </c>
      <c r="F47" s="346">
        <f t="shared" si="4"/>
        <v>257104.27000000008</v>
      </c>
      <c r="G47" s="463"/>
      <c r="H47" s="79"/>
      <c r="I47" s="79"/>
    </row>
    <row r="48" spans="1:16" ht="12" thickBot="1" x14ac:dyDescent="0.25">
      <c r="A48" s="357" t="s">
        <v>46</v>
      </c>
      <c r="B48" s="358"/>
      <c r="C48" s="344">
        <f>'May 2022'!F48</f>
        <v>233972.65999999997</v>
      </c>
      <c r="D48" s="322">
        <v>82.55</v>
      </c>
      <c r="E48" s="322">
        <f>1000+122.14</f>
        <v>1122.1400000000001</v>
      </c>
      <c r="F48" s="346">
        <f>C48+D48-E48</f>
        <v>232933.06999999995</v>
      </c>
      <c r="G48" s="463"/>
      <c r="H48" s="79"/>
      <c r="I48" s="79"/>
    </row>
    <row r="49" spans="1:16" ht="12" thickBot="1" x14ac:dyDescent="0.25">
      <c r="A49" s="800"/>
      <c r="B49" s="795"/>
      <c r="C49" s="360">
        <f>SUM(C43+C44+C47+C48+C46+C45)</f>
        <v>522492.47000000009</v>
      </c>
      <c r="D49" s="361">
        <f>SUM(D43:D48)</f>
        <v>40939.390000000007</v>
      </c>
      <c r="E49" s="361">
        <f>SUM(E43:E48)</f>
        <v>59536.020000000004</v>
      </c>
      <c r="F49" s="346">
        <f>C49+D49-E49+0.04</f>
        <v>503895.88000000006</v>
      </c>
      <c r="G49" s="463"/>
      <c r="H49" s="331"/>
      <c r="I49" s="79"/>
      <c r="J49" s="266"/>
    </row>
    <row r="50" spans="1:16" x14ac:dyDescent="0.2">
      <c r="A50" s="460"/>
      <c r="B50" s="461"/>
      <c r="C50" s="463">
        <f>C38-C49</f>
        <v>-677.67000000021653</v>
      </c>
      <c r="D50" s="463"/>
      <c r="E50" s="463"/>
      <c r="F50" s="463">
        <f>F38-F49</f>
        <v>-677.81000000017229</v>
      </c>
      <c r="H50" s="463"/>
      <c r="I50" s="331"/>
      <c r="J50" s="331"/>
      <c r="K50" s="266"/>
    </row>
    <row r="51" spans="1:16" x14ac:dyDescent="0.2">
      <c r="B51" s="340"/>
      <c r="C51" s="463"/>
      <c r="D51" s="463"/>
      <c r="E51" s="463"/>
      <c r="F51" s="463"/>
      <c r="G51" s="463"/>
      <c r="H51" s="463"/>
      <c r="I51" s="331"/>
    </row>
    <row r="52" spans="1:16" x14ac:dyDescent="0.2">
      <c r="A52" s="801" t="s">
        <v>17</v>
      </c>
      <c r="B52" s="801"/>
      <c r="C52" s="801"/>
      <c r="D52" s="801"/>
      <c r="E52" s="802" t="s">
        <v>18</v>
      </c>
      <c r="F52" s="802"/>
      <c r="G52" s="463"/>
      <c r="H52" s="463"/>
      <c r="J52" s="331"/>
    </row>
    <row r="53" spans="1:16" x14ac:dyDescent="0.2">
      <c r="C53" s="463"/>
      <c r="D53" s="463"/>
      <c r="E53" s="463"/>
      <c r="F53" s="463"/>
      <c r="G53" s="463"/>
      <c r="H53" s="463"/>
    </row>
    <row r="54" spans="1:16" x14ac:dyDescent="0.2">
      <c r="A54" s="801" t="s">
        <v>19</v>
      </c>
      <c r="B54" s="801"/>
      <c r="C54" s="801"/>
      <c r="D54" s="801"/>
      <c r="E54" s="802" t="s">
        <v>18</v>
      </c>
      <c r="F54" s="802"/>
      <c r="G54" s="463"/>
      <c r="H54" s="463"/>
    </row>
    <row r="55" spans="1:16" x14ac:dyDescent="0.2">
      <c r="A55" s="460"/>
      <c r="B55" s="461"/>
      <c r="C55" s="266"/>
      <c r="D55" s="266"/>
      <c r="E55" s="266"/>
      <c r="F55" s="79"/>
      <c r="G55" s="266"/>
      <c r="H55" s="266"/>
      <c r="I55" s="331"/>
      <c r="J55" s="79"/>
      <c r="P55" s="364"/>
    </row>
    <row r="56" spans="1:16" x14ac:dyDescent="0.2">
      <c r="B56" s="340"/>
      <c r="C56" s="331"/>
      <c r="D56" s="331"/>
      <c r="E56" s="331"/>
      <c r="F56" s="331"/>
      <c r="I56" s="331"/>
      <c r="J56" s="343"/>
      <c r="L56" s="266"/>
      <c r="P56" s="364"/>
    </row>
    <row r="57" spans="1:16" x14ac:dyDescent="0.2">
      <c r="B57" s="340"/>
      <c r="C57" s="79"/>
      <c r="D57" s="331"/>
      <c r="F57" s="331"/>
      <c r="J57" s="331"/>
    </row>
  </sheetData>
  <mergeCells count="17">
    <mergeCell ref="A47:B47"/>
    <mergeCell ref="A2:G2"/>
    <mergeCell ref="A3:G3"/>
    <mergeCell ref="A5:B5"/>
    <mergeCell ref="A6:B6"/>
    <mergeCell ref="A17:B17"/>
    <mergeCell ref="A23:B23"/>
    <mergeCell ref="A33:B33"/>
    <mergeCell ref="A38:B38"/>
    <mergeCell ref="A42:B42"/>
    <mergeCell ref="A43:B43"/>
    <mergeCell ref="A44:B44"/>
    <mergeCell ref="A49:B49"/>
    <mergeCell ref="A52:D52"/>
    <mergeCell ref="E52:F52"/>
    <mergeCell ref="A54:D54"/>
    <mergeCell ref="E54:F54"/>
  </mergeCells>
  <pageMargins left="0.7" right="0.7" top="0.75" bottom="0.75" header="0.3" footer="0.3"/>
  <pageSetup orientation="portrait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34652-8768-4077-885E-3A0D39410D14}">
  <sheetPr>
    <pageSetUpPr fitToPage="1"/>
  </sheetPr>
  <dimension ref="A1:R57"/>
  <sheetViews>
    <sheetView topLeftCell="A15" zoomScale="140" zoomScaleNormal="140" workbookViewId="0">
      <selection activeCell="H32" sqref="H32"/>
    </sheetView>
  </sheetViews>
  <sheetFormatPr defaultColWidth="9.140625" defaultRowHeight="11.25" x14ac:dyDescent="0.2"/>
  <cols>
    <col min="1" max="1" width="10.7109375" style="473" customWidth="1"/>
    <col min="2" max="2" width="28.140625" style="473" customWidth="1"/>
    <col min="3" max="3" width="10.5703125" style="473" customWidth="1"/>
    <col min="4" max="4" width="9.42578125" style="473" customWidth="1"/>
    <col min="5" max="5" width="9.140625" style="473"/>
    <col min="6" max="6" width="10.28515625" style="473" customWidth="1"/>
    <col min="7" max="7" width="8.85546875" style="473" customWidth="1"/>
    <col min="8" max="8" width="12.140625" style="473" customWidth="1"/>
    <col min="9" max="9" width="14.7109375" style="473" customWidth="1"/>
    <col min="10" max="10" width="14.5703125" style="473" customWidth="1"/>
    <col min="11" max="11" width="11.28515625" style="473" customWidth="1"/>
    <col min="12" max="15" width="9.140625" style="473"/>
    <col min="16" max="16" width="13" style="473" customWidth="1"/>
    <col min="17" max="16384" width="9.140625" style="473"/>
  </cols>
  <sheetData>
    <row r="1" spans="1:18" hidden="1" x14ac:dyDescent="0.2"/>
    <row r="2" spans="1:18" x14ac:dyDescent="0.2">
      <c r="A2" s="786" t="s">
        <v>0</v>
      </c>
      <c r="B2" s="786"/>
      <c r="C2" s="786"/>
      <c r="D2" s="786"/>
      <c r="E2" s="786"/>
      <c r="F2" s="786"/>
      <c r="G2" s="786"/>
      <c r="H2" s="469"/>
    </row>
    <row r="3" spans="1:18" x14ac:dyDescent="0.2">
      <c r="A3" s="787" t="s">
        <v>113</v>
      </c>
      <c r="B3" s="787"/>
      <c r="C3" s="787"/>
      <c r="D3" s="787"/>
      <c r="E3" s="787"/>
      <c r="F3" s="787"/>
      <c r="G3" s="787"/>
      <c r="H3" s="470"/>
    </row>
    <row r="4" spans="1:18" ht="12" thickBot="1" x14ac:dyDescent="0.25">
      <c r="B4" s="265" t="s">
        <v>37</v>
      </c>
      <c r="F4" s="266"/>
      <c r="I4" s="267"/>
    </row>
    <row r="5" spans="1:18" x14ac:dyDescent="0.2">
      <c r="A5" s="788" t="s">
        <v>1</v>
      </c>
      <c r="B5" s="789"/>
      <c r="C5" s="268" t="s">
        <v>2</v>
      </c>
      <c r="D5" s="268" t="s">
        <v>3</v>
      </c>
      <c r="E5" s="268" t="s">
        <v>58</v>
      </c>
      <c r="F5" s="268" t="s">
        <v>5</v>
      </c>
      <c r="G5" s="268" t="s">
        <v>6</v>
      </c>
      <c r="H5" s="269"/>
      <c r="I5" s="269"/>
    </row>
    <row r="6" spans="1:18" ht="15" x14ac:dyDescent="0.25">
      <c r="A6" s="803" t="s">
        <v>7</v>
      </c>
      <c r="B6" s="804"/>
      <c r="C6" s="270">
        <f>SUM(C7:C16)</f>
        <v>208212.20999999993</v>
      </c>
      <c r="D6" s="271">
        <f>SUM(D7:D16)</f>
        <v>2377.92</v>
      </c>
      <c r="E6" s="271">
        <f>SUM(E7:E16)</f>
        <v>-3736.0999999999995</v>
      </c>
      <c r="F6" s="271">
        <f>SUM(F7:F16)</f>
        <v>214326.22999999992</v>
      </c>
      <c r="G6" s="272">
        <f>SUM(G7:G15)</f>
        <v>0</v>
      </c>
      <c r="H6" s="273"/>
      <c r="I6" s="273"/>
      <c r="J6" s="273"/>
      <c r="K6" s="474"/>
      <c r="P6" s="474"/>
      <c r="R6" s="474"/>
    </row>
    <row r="7" spans="1:18" ht="12" customHeight="1" x14ac:dyDescent="0.2">
      <c r="A7" s="275"/>
      <c r="B7" s="276" t="s">
        <v>23</v>
      </c>
      <c r="C7" s="277">
        <f>'June 2022'!F7</f>
        <v>214714.73999999993</v>
      </c>
      <c r="D7" s="278">
        <f>1233+149.92</f>
        <v>1382.92</v>
      </c>
      <c r="E7" s="430">
        <f>1000+1246.47+24.33+98.05+2694.28+140-10369.25</f>
        <v>-5166.119999999999</v>
      </c>
      <c r="F7" s="279">
        <f>C7+D7-E7</f>
        <v>221263.77999999994</v>
      </c>
      <c r="G7" s="280"/>
      <c r="H7" s="281"/>
      <c r="I7" s="474"/>
    </row>
    <row r="8" spans="1:18" x14ac:dyDescent="0.2">
      <c r="A8" s="282"/>
      <c r="B8" s="283" t="s">
        <v>62</v>
      </c>
      <c r="C8" s="277">
        <f>'June 2022'!F8</f>
        <v>-8629.36</v>
      </c>
      <c r="D8" s="284"/>
      <c r="E8" s="284">
        <v>1059.6099999999999</v>
      </c>
      <c r="F8" s="286">
        <f t="shared" ref="F8:F15" si="0">C8+D8-E8</f>
        <v>-9688.9700000000012</v>
      </c>
      <c r="G8" s="280"/>
      <c r="H8" s="273"/>
      <c r="I8" s="287"/>
    </row>
    <row r="9" spans="1:18" hidden="1" x14ac:dyDescent="0.2">
      <c r="A9" s="282"/>
      <c r="B9" s="288" t="s">
        <v>67</v>
      </c>
      <c r="C9" s="277">
        <f>'June 2022'!F9</f>
        <v>0</v>
      </c>
      <c r="D9" s="284"/>
      <c r="E9" s="284"/>
      <c r="F9" s="279">
        <f t="shared" si="0"/>
        <v>0</v>
      </c>
      <c r="G9" s="280"/>
      <c r="H9" s="273"/>
      <c r="I9" s="289"/>
      <c r="J9" s="474"/>
    </row>
    <row r="10" spans="1:18" hidden="1" x14ac:dyDescent="0.2">
      <c r="A10" s="282"/>
      <c r="B10" s="288" t="s">
        <v>41</v>
      </c>
      <c r="C10" s="277">
        <f>'June 2022'!F10</f>
        <v>-1.0000000002037268E-2</v>
      </c>
      <c r="D10" s="290"/>
      <c r="E10" s="290"/>
      <c r="F10" s="286">
        <f t="shared" si="0"/>
        <v>-1.0000000002037268E-2</v>
      </c>
      <c r="G10" s="280"/>
      <c r="H10" s="273"/>
      <c r="I10" s="291"/>
      <c r="J10" s="474"/>
    </row>
    <row r="11" spans="1:18" hidden="1" x14ac:dyDescent="0.2">
      <c r="A11" s="282"/>
      <c r="B11" s="288" t="s">
        <v>29</v>
      </c>
      <c r="C11" s="277">
        <f>'June 2022'!F11</f>
        <v>0</v>
      </c>
      <c r="D11" s="292"/>
      <c r="E11" s="292"/>
      <c r="F11" s="279">
        <f t="shared" si="0"/>
        <v>0</v>
      </c>
      <c r="G11" s="280"/>
      <c r="H11" s="273"/>
      <c r="I11" s="293"/>
    </row>
    <row r="12" spans="1:18" x14ac:dyDescent="0.2">
      <c r="A12" s="282"/>
      <c r="B12" s="288" t="s">
        <v>20</v>
      </c>
      <c r="C12" s="277">
        <f>'June 2022'!F12</f>
        <v>2635.2500000000009</v>
      </c>
      <c r="D12" s="294">
        <v>257.3</v>
      </c>
      <c r="E12" s="294"/>
      <c r="F12" s="295">
        <f>C12+D12-E12</f>
        <v>2892.5500000000011</v>
      </c>
      <c r="G12" s="280"/>
      <c r="H12" s="273" t="s">
        <v>107</v>
      </c>
      <c r="I12" s="474"/>
    </row>
    <row r="13" spans="1:18" x14ac:dyDescent="0.2">
      <c r="A13" s="282"/>
      <c r="B13" s="288" t="s">
        <v>22</v>
      </c>
      <c r="C13" s="277">
        <f>'June 2022'!F13</f>
        <v>187.43999999999988</v>
      </c>
      <c r="D13" s="294">
        <v>17.7</v>
      </c>
      <c r="E13" s="294">
        <v>192</v>
      </c>
      <c r="F13" s="295">
        <f>C13+D13-E13</f>
        <v>13.139999999999873</v>
      </c>
      <c r="G13" s="280"/>
      <c r="H13" s="273"/>
      <c r="I13" s="474"/>
    </row>
    <row r="14" spans="1:18" x14ac:dyDescent="0.2">
      <c r="A14" s="282"/>
      <c r="B14" s="288" t="s">
        <v>28</v>
      </c>
      <c r="C14" s="277">
        <f>'June 2022'!F14</f>
        <v>-245.21000000000112</v>
      </c>
      <c r="D14" s="294"/>
      <c r="E14" s="294">
        <v>86.42</v>
      </c>
      <c r="F14" s="286">
        <f t="shared" si="0"/>
        <v>-331.63000000000113</v>
      </c>
      <c r="G14" s="280"/>
      <c r="H14" s="273"/>
      <c r="I14" s="474"/>
    </row>
    <row r="15" spans="1:18" x14ac:dyDescent="0.2">
      <c r="A15" s="282"/>
      <c r="B15" s="296" t="s">
        <v>42</v>
      </c>
      <c r="C15" s="277">
        <f>'June 2022'!F15</f>
        <v>146.25000000000003</v>
      </c>
      <c r="D15" s="284">
        <v>720</v>
      </c>
      <c r="E15" s="284"/>
      <c r="F15" s="297">
        <f t="shared" si="0"/>
        <v>866.25</v>
      </c>
      <c r="G15" s="280"/>
      <c r="H15" s="273"/>
      <c r="I15" s="474"/>
    </row>
    <row r="16" spans="1:18" x14ac:dyDescent="0.2">
      <c r="A16" s="282"/>
      <c r="B16" s="296" t="s">
        <v>43</v>
      </c>
      <c r="C16" s="277">
        <f>'June 2022'!F16</f>
        <v>-596.89000000000033</v>
      </c>
      <c r="D16" s="284"/>
      <c r="E16" s="284">
        <v>91.99</v>
      </c>
      <c r="F16" s="295">
        <f>C16+D16-E16</f>
        <v>-688.88000000000034</v>
      </c>
      <c r="G16" s="280"/>
      <c r="H16" s="273"/>
      <c r="I16" s="273"/>
      <c r="P16" s="474"/>
    </row>
    <row r="17" spans="1:16" ht="15" x14ac:dyDescent="0.25">
      <c r="A17" s="805" t="s">
        <v>53</v>
      </c>
      <c r="B17" s="806"/>
      <c r="C17" s="298">
        <f>SUM(C18:C22)</f>
        <v>-24440.33</v>
      </c>
      <c r="D17" s="299">
        <f>SUM(D18:D22)</f>
        <v>0</v>
      </c>
      <c r="E17" s="299">
        <f>SUM(E18:E22)</f>
        <v>4087.79</v>
      </c>
      <c r="F17" s="286">
        <f>SUM(F18:F22)</f>
        <v>-28528.12</v>
      </c>
      <c r="G17" s="300"/>
      <c r="H17" s="273"/>
      <c r="I17" s="273"/>
      <c r="P17" s="474"/>
    </row>
    <row r="18" spans="1:16" x14ac:dyDescent="0.2">
      <c r="A18" s="301"/>
      <c r="B18" s="302" t="s">
        <v>9</v>
      </c>
      <c r="C18" s="303">
        <f>'June 2022'!F18</f>
        <v>-9260.2400000000016</v>
      </c>
      <c r="D18" s="304"/>
      <c r="E18" s="305"/>
      <c r="F18" s="306">
        <f>C18+D18-E18</f>
        <v>-9260.2400000000016</v>
      </c>
      <c r="G18" s="284">
        <v>15176</v>
      </c>
      <c r="H18" s="273" t="s">
        <v>107</v>
      </c>
      <c r="I18" s="474"/>
      <c r="J18" s="79"/>
    </row>
    <row r="19" spans="1:16" x14ac:dyDescent="0.2">
      <c r="A19" s="282"/>
      <c r="B19" s="307" t="s">
        <v>8</v>
      </c>
      <c r="C19" s="303">
        <f>'June 2022'!F19</f>
        <v>-6625.9500000000007</v>
      </c>
      <c r="D19" s="294"/>
      <c r="E19" s="290">
        <f>291.16+2594.69</f>
        <v>2885.85</v>
      </c>
      <c r="F19" s="306">
        <f>C19+D19-E19</f>
        <v>-9511.8000000000011</v>
      </c>
      <c r="G19" s="308"/>
      <c r="H19" s="273"/>
      <c r="I19" s="474"/>
    </row>
    <row r="20" spans="1:16" x14ac:dyDescent="0.2">
      <c r="A20" s="282"/>
      <c r="B20" s="307" t="s">
        <v>32</v>
      </c>
      <c r="C20" s="303">
        <f>'June 2022'!F20</f>
        <v>-1902.1100000000006</v>
      </c>
      <c r="D20" s="294"/>
      <c r="E20" s="290">
        <v>284.67</v>
      </c>
      <c r="F20" s="306">
        <f t="shared" ref="F20:F22" si="1">C20+D20-E20</f>
        <v>-2186.7800000000007</v>
      </c>
      <c r="G20" s="309">
        <v>5000</v>
      </c>
      <c r="H20" s="273" t="s">
        <v>107</v>
      </c>
      <c r="I20" s="474"/>
    </row>
    <row r="21" spans="1:16" hidden="1" x14ac:dyDescent="0.2">
      <c r="A21" s="282"/>
      <c r="B21" s="307" t="s">
        <v>67</v>
      </c>
      <c r="C21" s="303">
        <f>'June 2022'!F21</f>
        <v>-9.0951551845463996E-15</v>
      </c>
      <c r="D21" s="294"/>
      <c r="E21" s="294"/>
      <c r="F21" s="306">
        <f t="shared" si="1"/>
        <v>-9.0951551845463996E-15</v>
      </c>
      <c r="G21" s="309"/>
      <c r="H21" s="273"/>
      <c r="I21" s="474"/>
    </row>
    <row r="22" spans="1:16" x14ac:dyDescent="0.2">
      <c r="A22" s="310"/>
      <c r="B22" s="311" t="s">
        <v>38</v>
      </c>
      <c r="C22" s="303">
        <f>'June 2022'!F22</f>
        <v>-6652.03</v>
      </c>
      <c r="D22" s="312"/>
      <c r="E22" s="305">
        <v>917.27</v>
      </c>
      <c r="F22" s="306">
        <f t="shared" si="1"/>
        <v>-7569.2999999999993</v>
      </c>
      <c r="G22" s="284">
        <v>8500</v>
      </c>
      <c r="H22" s="273" t="s">
        <v>107</v>
      </c>
      <c r="I22" s="474"/>
      <c r="J22" s="79"/>
    </row>
    <row r="23" spans="1:16" x14ac:dyDescent="0.2">
      <c r="A23" s="807" t="s">
        <v>10</v>
      </c>
      <c r="B23" s="808"/>
      <c r="C23" s="298">
        <f>SUM(C24:C32)</f>
        <v>241755.57000000004</v>
      </c>
      <c r="D23" s="313">
        <f>SUM(D24:D31)</f>
        <v>18710</v>
      </c>
      <c r="E23" s="314">
        <f>SUM(E24:E32)</f>
        <v>19690.809999999998</v>
      </c>
      <c r="F23" s="314">
        <f>SUM(F24:F32)-0.08</f>
        <v>240774.68000000005</v>
      </c>
      <c r="G23" s="315">
        <f>SUM(G32:G36)</f>
        <v>70000</v>
      </c>
      <c r="H23" s="273"/>
      <c r="I23" s="273"/>
      <c r="P23" s="474"/>
    </row>
    <row r="24" spans="1:16" hidden="1" x14ac:dyDescent="0.2">
      <c r="A24" s="301"/>
      <c r="B24" s="316" t="s">
        <v>55</v>
      </c>
      <c r="C24" s="303">
        <f>'February 2021'!G24</f>
        <v>0</v>
      </c>
      <c r="D24" s="317"/>
      <c r="E24" s="304"/>
      <c r="F24" s="318">
        <f>C24+D24-E24</f>
        <v>0</v>
      </c>
      <c r="G24" s="278"/>
      <c r="H24" s="273"/>
      <c r="I24" s="474"/>
      <c r="J24" s="319"/>
    </row>
    <row r="25" spans="1:16" hidden="1" x14ac:dyDescent="0.2">
      <c r="A25" s="310"/>
      <c r="B25" s="296" t="s">
        <v>70</v>
      </c>
      <c r="C25" s="303">
        <f>'January 2022'!F25</f>
        <v>7.9999999998108251E-2</v>
      </c>
      <c r="D25" s="312"/>
      <c r="E25" s="312"/>
      <c r="F25" s="318">
        <f>C25+D25-E25</f>
        <v>7.9999999998108251E-2</v>
      </c>
      <c r="G25" s="284"/>
      <c r="H25" s="273"/>
      <c r="I25" s="474"/>
      <c r="J25" s="319"/>
    </row>
    <row r="26" spans="1:16" x14ac:dyDescent="0.2">
      <c r="A26" s="275"/>
      <c r="B26" s="320" t="s">
        <v>105</v>
      </c>
      <c r="C26" s="303">
        <f>'June 2022'!F26</f>
        <v>16021.450000000008</v>
      </c>
      <c r="D26" s="305"/>
      <c r="E26" s="321">
        <v>2577.85</v>
      </c>
      <c r="F26" s="318">
        <f t="shared" ref="F26:F30" si="2">C26+D26-E26</f>
        <v>13443.600000000008</v>
      </c>
      <c r="G26" s="284"/>
      <c r="H26" s="273"/>
      <c r="I26" s="474"/>
      <c r="J26" s="474"/>
    </row>
    <row r="27" spans="1:16" hidden="1" x14ac:dyDescent="0.2">
      <c r="A27" s="275"/>
      <c r="B27" s="320" t="s">
        <v>39</v>
      </c>
      <c r="C27" s="303">
        <f>'June 2022'!F27</f>
        <v>8.1854523159563541E-12</v>
      </c>
      <c r="D27" s="312"/>
      <c r="E27" s="305"/>
      <c r="F27" s="318">
        <f t="shared" si="2"/>
        <v>8.1854523159563541E-12</v>
      </c>
      <c r="G27" s="284"/>
      <c r="H27" s="273"/>
      <c r="I27" s="474"/>
      <c r="J27" s="474"/>
    </row>
    <row r="28" spans="1:16" x14ac:dyDescent="0.2">
      <c r="A28" s="275"/>
      <c r="B28" s="320" t="s">
        <v>115</v>
      </c>
      <c r="C28" s="303">
        <v>0</v>
      </c>
      <c r="D28" s="312">
        <v>18710</v>
      </c>
      <c r="E28" s="312"/>
      <c r="F28" s="318">
        <f t="shared" si="2"/>
        <v>18710</v>
      </c>
      <c r="G28" s="284"/>
      <c r="H28" s="273"/>
      <c r="I28" s="474"/>
      <c r="J28" s="474"/>
    </row>
    <row r="29" spans="1:16" x14ac:dyDescent="0.2">
      <c r="A29" s="275"/>
      <c r="B29" s="320" t="s">
        <v>86</v>
      </c>
      <c r="C29" s="303">
        <f>'June 2022'!F29</f>
        <v>104054.57</v>
      </c>
      <c r="D29" s="312"/>
      <c r="E29" s="312">
        <v>15531.07</v>
      </c>
      <c r="F29" s="318">
        <f t="shared" si="2"/>
        <v>88523.5</v>
      </c>
      <c r="G29" s="284"/>
      <c r="H29" s="273"/>
      <c r="I29" s="474"/>
      <c r="J29" s="474"/>
    </row>
    <row r="30" spans="1:16" x14ac:dyDescent="0.2">
      <c r="A30" s="275"/>
      <c r="B30" s="320" t="s">
        <v>101</v>
      </c>
      <c r="C30" s="303">
        <f>'June 2022'!F30</f>
        <v>124406</v>
      </c>
      <c r="D30" s="312"/>
      <c r="E30" s="312"/>
      <c r="F30" s="318">
        <f t="shared" si="2"/>
        <v>124406</v>
      </c>
      <c r="G30" s="284"/>
      <c r="H30" s="273"/>
      <c r="I30" s="474"/>
      <c r="J30" s="474"/>
    </row>
    <row r="31" spans="1:16" x14ac:dyDescent="0.2">
      <c r="A31" s="275"/>
      <c r="B31" s="296" t="s">
        <v>44</v>
      </c>
      <c r="C31" s="303">
        <f>'June 2022'!F31</f>
        <v>-1745.9</v>
      </c>
      <c r="D31" s="312"/>
      <c r="E31" s="305">
        <v>1069.3699999999999</v>
      </c>
      <c r="F31" s="318">
        <f>C31+D31-E31</f>
        <v>-2815.27</v>
      </c>
      <c r="G31" s="284"/>
      <c r="H31" s="273"/>
      <c r="I31" s="474"/>
      <c r="J31" s="474"/>
    </row>
    <row r="32" spans="1:16" x14ac:dyDescent="0.2">
      <c r="A32" s="310"/>
      <c r="B32" s="473" t="s">
        <v>111</v>
      </c>
      <c r="C32" s="303">
        <f>'June 2022'!F32</f>
        <v>-980.63</v>
      </c>
      <c r="D32" s="468"/>
      <c r="E32" s="473">
        <v>512.52</v>
      </c>
      <c r="F32" s="324">
        <f>C32+D32-E32</f>
        <v>-1493.15</v>
      </c>
      <c r="G32" s="284"/>
      <c r="H32" s="273"/>
      <c r="I32" s="474"/>
      <c r="J32" s="319"/>
    </row>
    <row r="33" spans="1:16" x14ac:dyDescent="0.2">
      <c r="A33" s="809" t="s">
        <v>35</v>
      </c>
      <c r="B33" s="810"/>
      <c r="C33" s="298">
        <f>SUM(C34:C37)</f>
        <v>77321.37000000001</v>
      </c>
      <c r="D33" s="313">
        <f>SUM(D34:D37)</f>
        <v>9607</v>
      </c>
      <c r="E33" s="314">
        <f>SUM(E34:E36)</f>
        <v>2253.63</v>
      </c>
      <c r="F33" s="314">
        <f>SUM(F34:F37)</f>
        <v>84674.74</v>
      </c>
      <c r="G33" s="315">
        <f>SUM(G34:G36)</f>
        <v>35000</v>
      </c>
      <c r="H33" s="273"/>
      <c r="I33" s="273"/>
      <c r="P33" s="474"/>
    </row>
    <row r="34" spans="1:16" x14ac:dyDescent="0.2">
      <c r="A34" s="310"/>
      <c r="B34" s="296" t="s">
        <v>114</v>
      </c>
      <c r="C34" s="303">
        <f>'June 2022'!F34</f>
        <v>25529.96</v>
      </c>
      <c r="D34" s="322">
        <v>9607</v>
      </c>
      <c r="E34" s="323">
        <v>1423.35</v>
      </c>
      <c r="F34" s="324">
        <f>C34+D34-E34</f>
        <v>33713.61</v>
      </c>
      <c r="G34" s="284"/>
      <c r="H34" s="273"/>
      <c r="I34" s="474"/>
      <c r="J34" s="319"/>
    </row>
    <row r="35" spans="1:16" x14ac:dyDescent="0.2">
      <c r="A35" s="310"/>
      <c r="B35" s="296" t="s">
        <v>90</v>
      </c>
      <c r="C35" s="303">
        <f>'June 2022'!F35</f>
        <v>24755.550000000007</v>
      </c>
      <c r="D35" s="322"/>
      <c r="E35" s="323">
        <v>369.95</v>
      </c>
      <c r="F35" s="324">
        <f t="shared" ref="F35" si="3">C35+D35-E35</f>
        <v>24385.600000000006</v>
      </c>
      <c r="G35" s="284">
        <v>35000</v>
      </c>
      <c r="H35" s="273"/>
      <c r="I35" s="474"/>
      <c r="J35" s="319"/>
    </row>
    <row r="36" spans="1:16" x14ac:dyDescent="0.2">
      <c r="A36" s="310"/>
      <c r="B36" s="325" t="s">
        <v>103</v>
      </c>
      <c r="C36" s="303">
        <f>'June 2022'!F36</f>
        <v>16485.859999999997</v>
      </c>
      <c r="D36" s="322"/>
      <c r="E36" s="305">
        <v>460.33</v>
      </c>
      <c r="F36" s="324">
        <f>C36+D36-E36</f>
        <v>16025.529999999997</v>
      </c>
      <c r="G36" s="284"/>
      <c r="H36" s="273"/>
      <c r="I36" s="293"/>
      <c r="J36" s="266"/>
      <c r="P36" s="326"/>
    </row>
    <row r="37" spans="1:16" ht="12" thickBot="1" x14ac:dyDescent="0.25">
      <c r="B37" s="473" t="s">
        <v>99</v>
      </c>
      <c r="C37" s="303">
        <f>'June 2022'!F37</f>
        <v>10550</v>
      </c>
      <c r="D37" s="464"/>
      <c r="F37" s="324">
        <f>C37+D37-E37</f>
        <v>10550</v>
      </c>
    </row>
    <row r="38" spans="1:16" ht="12" thickBot="1" x14ac:dyDescent="0.25">
      <c r="A38" s="794" t="s">
        <v>11</v>
      </c>
      <c r="B38" s="795"/>
      <c r="C38" s="466">
        <f>C33+C23+C17+C6+369.29</f>
        <v>503218.10999999993</v>
      </c>
      <c r="D38" s="465">
        <f>SUM(D23,D17,D6,D33)</f>
        <v>30694.92</v>
      </c>
      <c r="E38" s="328">
        <f>SUM(E23,E17,E6,E33)</f>
        <v>22296.13</v>
      </c>
      <c r="F38" s="329">
        <f>SUM(F23,F17,F6,F33)+369.29</f>
        <v>511616.81999999995</v>
      </c>
      <c r="G38" s="330">
        <f>SUM(G6,G16,G23,G33)</f>
        <v>105000</v>
      </c>
      <c r="H38" s="474"/>
      <c r="I38" s="474"/>
      <c r="J38" s="331"/>
    </row>
    <row r="39" spans="1:16" hidden="1" x14ac:dyDescent="0.2">
      <c r="A39" s="471"/>
      <c r="B39" s="472"/>
      <c r="C39" s="474">
        <f>SUM(C17:C22)</f>
        <v>-48880.66</v>
      </c>
      <c r="D39" s="474"/>
      <c r="E39" s="474"/>
      <c r="F39" s="474"/>
      <c r="G39" s="334"/>
      <c r="H39" s="474"/>
      <c r="K39" s="473" t="s">
        <v>12</v>
      </c>
      <c r="L39" s="473">
        <v>42.43</v>
      </c>
    </row>
    <row r="40" spans="1:16" ht="12" hidden="1" thickBot="1" x14ac:dyDescent="0.25">
      <c r="A40" s="335" t="s">
        <v>25</v>
      </c>
      <c r="B40" s="336"/>
      <c r="C40" s="337" t="e">
        <f>SUM(C38,#REF!)</f>
        <v>#REF!</v>
      </c>
      <c r="D40" s="338" t="e">
        <f>SUM(D38,#REF!)</f>
        <v>#REF!</v>
      </c>
      <c r="E40" s="338" t="e">
        <f>SUM(E38,#REF!)</f>
        <v>#REF!</v>
      </c>
      <c r="F40" s="339" t="e">
        <f>SUM(F38,#REF!)</f>
        <v>#REF!</v>
      </c>
      <c r="G40" s="334"/>
      <c r="H40" s="474"/>
      <c r="I40" s="331"/>
      <c r="J40" s="79">
        <v>206730.35</v>
      </c>
    </row>
    <row r="41" spans="1:16" ht="12" thickBot="1" x14ac:dyDescent="0.25">
      <c r="B41" s="340"/>
      <c r="C41" s="474"/>
      <c r="D41" s="474"/>
      <c r="E41" s="474"/>
      <c r="F41" s="474"/>
      <c r="G41" s="334"/>
      <c r="H41" s="341"/>
      <c r="I41" s="331"/>
      <c r="J41" s="79"/>
      <c r="P41" s="474"/>
    </row>
    <row r="42" spans="1:16" ht="12" thickBot="1" x14ac:dyDescent="0.25">
      <c r="A42" s="796" t="s">
        <v>13</v>
      </c>
      <c r="B42" s="797"/>
      <c r="C42" s="342" t="s">
        <v>2</v>
      </c>
      <c r="D42" s="342" t="s">
        <v>3</v>
      </c>
      <c r="E42" s="342" t="s">
        <v>27</v>
      </c>
      <c r="F42" s="342" t="s">
        <v>5</v>
      </c>
      <c r="G42" s="269"/>
      <c r="H42" s="331"/>
      <c r="I42" s="343"/>
    </row>
    <row r="43" spans="1:16" ht="12" thickBot="1" x14ac:dyDescent="0.25">
      <c r="A43" s="784" t="s">
        <v>14</v>
      </c>
      <c r="B43" s="785"/>
      <c r="C43" s="344">
        <f>'June 2022'!F43</f>
        <v>204.09</v>
      </c>
      <c r="D43" s="345"/>
      <c r="E43" s="345">
        <v>31.28</v>
      </c>
      <c r="F43" s="346">
        <f>C43+D43-E43</f>
        <v>172.81</v>
      </c>
      <c r="G43" s="474"/>
      <c r="I43" s="331"/>
      <c r="J43" s="79"/>
    </row>
    <row r="44" spans="1:16" ht="12" thickBot="1" x14ac:dyDescent="0.25">
      <c r="A44" s="798" t="s">
        <v>15</v>
      </c>
      <c r="B44" s="799"/>
      <c r="C44" s="344">
        <f>'June 2022'!F44</f>
        <v>16108.760000000017</v>
      </c>
      <c r="D44" s="347">
        <v>22000</v>
      </c>
      <c r="E44" s="347">
        <v>19449.3</v>
      </c>
      <c r="F44" s="346">
        <f>C44+D44-E44-0.04</f>
        <v>18659.420000000016</v>
      </c>
      <c r="G44" s="474"/>
      <c r="H44" s="349"/>
      <c r="I44" s="331"/>
    </row>
    <row r="45" spans="1:16" ht="12" thickBot="1" x14ac:dyDescent="0.25">
      <c r="A45" s="350"/>
      <c r="B45" s="351" t="s">
        <v>21</v>
      </c>
      <c r="C45" s="344">
        <f>'June 2022'!F45</f>
        <v>0</v>
      </c>
      <c r="D45" s="352"/>
      <c r="E45" s="352"/>
      <c r="F45" s="346">
        <f t="shared" ref="F45:F47" si="4">C45+D45-E45</f>
        <v>0</v>
      </c>
      <c r="G45" s="474"/>
      <c r="H45" s="349"/>
      <c r="I45" s="79"/>
    </row>
    <row r="46" spans="1:16" ht="12" thickBot="1" x14ac:dyDescent="0.25">
      <c r="A46" s="350"/>
      <c r="B46" s="351" t="s">
        <v>40</v>
      </c>
      <c r="C46" s="344">
        <f>'June 2022'!F46</f>
        <v>-2454.3100000000004</v>
      </c>
      <c r="D46" s="353">
        <v>1952.79</v>
      </c>
      <c r="E46" s="353">
        <v>3682.02</v>
      </c>
      <c r="F46" s="346">
        <f>C46+D46-E46</f>
        <v>-4183.5400000000009</v>
      </c>
      <c r="G46" s="474"/>
      <c r="H46" s="79"/>
      <c r="I46" s="79"/>
    </row>
    <row r="47" spans="1:16" ht="12" thickBot="1" x14ac:dyDescent="0.25">
      <c r="A47" s="784" t="s">
        <v>16</v>
      </c>
      <c r="B47" s="785"/>
      <c r="C47" s="344">
        <f>'June 2022'!F47</f>
        <v>257104.27000000008</v>
      </c>
      <c r="D47" s="355">
        <v>30609.59</v>
      </c>
      <c r="E47" s="355">
        <v>22000</v>
      </c>
      <c r="F47" s="346">
        <f t="shared" si="4"/>
        <v>265713.8600000001</v>
      </c>
      <c r="G47" s="474"/>
      <c r="H47" s="79"/>
      <c r="I47" s="79"/>
    </row>
    <row r="48" spans="1:16" ht="12" thickBot="1" x14ac:dyDescent="0.25">
      <c r="A48" s="357" t="s">
        <v>46</v>
      </c>
      <c r="B48" s="358"/>
      <c r="C48" s="344">
        <f>'June 2022'!F48</f>
        <v>232933.06999999995</v>
      </c>
      <c r="D48" s="322">
        <v>85.33</v>
      </c>
      <c r="E48" s="322">
        <f>1000+15.25+71</f>
        <v>1086.25</v>
      </c>
      <c r="F48" s="346">
        <f>C48+D48-E48</f>
        <v>231932.14999999994</v>
      </c>
      <c r="G48" s="474"/>
      <c r="H48" s="79"/>
      <c r="I48" s="79"/>
    </row>
    <row r="49" spans="1:16" ht="12" thickBot="1" x14ac:dyDescent="0.25">
      <c r="A49" s="800"/>
      <c r="B49" s="795"/>
      <c r="C49" s="360">
        <f>SUM(C43+C44+C47+C48+C46+C45)</f>
        <v>503895.88000000006</v>
      </c>
      <c r="D49" s="361">
        <f>SUM(D43:D48)</f>
        <v>54647.710000000006</v>
      </c>
      <c r="E49" s="361">
        <f>SUM(E43:E48)</f>
        <v>46248.85</v>
      </c>
      <c r="F49" s="346">
        <f>C49+D49-E49-0.04</f>
        <v>512294.70000000013</v>
      </c>
      <c r="G49" s="474"/>
      <c r="H49" s="331"/>
      <c r="I49" s="79"/>
      <c r="J49" s="266"/>
    </row>
    <row r="50" spans="1:16" x14ac:dyDescent="0.2">
      <c r="A50" s="471"/>
      <c r="B50" s="472"/>
      <c r="C50" s="474">
        <f>C38-C49</f>
        <v>-677.77000000013504</v>
      </c>
      <c r="D50" s="474"/>
      <c r="E50" s="474"/>
      <c r="F50" s="474">
        <f>F38-F49</f>
        <v>-677.88000000017928</v>
      </c>
      <c r="H50" s="474"/>
      <c r="I50" s="331"/>
      <c r="J50" s="331"/>
      <c r="K50" s="266"/>
    </row>
    <row r="51" spans="1:16" x14ac:dyDescent="0.2">
      <c r="B51" s="340"/>
      <c r="C51" s="474"/>
      <c r="D51" s="474"/>
      <c r="E51" s="474"/>
      <c r="F51" s="474"/>
      <c r="G51" s="474"/>
      <c r="H51" s="474"/>
      <c r="I51" s="331"/>
    </row>
    <row r="52" spans="1:16" x14ac:dyDescent="0.2">
      <c r="A52" s="801" t="s">
        <v>17</v>
      </c>
      <c r="B52" s="801"/>
      <c r="C52" s="801"/>
      <c r="D52" s="801"/>
      <c r="E52" s="802" t="s">
        <v>18</v>
      </c>
      <c r="F52" s="802"/>
      <c r="G52" s="474"/>
      <c r="H52" s="474"/>
      <c r="J52" s="331"/>
    </row>
    <row r="53" spans="1:16" x14ac:dyDescent="0.2">
      <c r="C53" s="474"/>
      <c r="D53" s="474"/>
      <c r="E53" s="474"/>
      <c r="F53" s="474"/>
      <c r="G53" s="474"/>
      <c r="H53" s="474"/>
    </row>
    <row r="54" spans="1:16" x14ac:dyDescent="0.2">
      <c r="A54" s="801" t="s">
        <v>19</v>
      </c>
      <c r="B54" s="801"/>
      <c r="C54" s="801"/>
      <c r="D54" s="801"/>
      <c r="E54" s="802" t="s">
        <v>18</v>
      </c>
      <c r="F54" s="802"/>
      <c r="G54" s="474"/>
      <c r="H54" s="474"/>
    </row>
    <row r="55" spans="1:16" x14ac:dyDescent="0.2">
      <c r="A55" s="471"/>
      <c r="B55" s="472"/>
      <c r="C55" s="266"/>
      <c r="D55" s="266"/>
      <c r="E55" s="266"/>
      <c r="F55" s="79"/>
      <c r="G55" s="266"/>
      <c r="H55" s="266"/>
      <c r="I55" s="331"/>
      <c r="J55" s="79"/>
      <c r="P55" s="364"/>
    </row>
    <row r="56" spans="1:16" x14ac:dyDescent="0.2">
      <c r="B56" s="340"/>
      <c r="C56" s="331"/>
      <c r="D56" s="331"/>
      <c r="E56" s="331"/>
      <c r="F56" s="331"/>
      <c r="I56" s="331"/>
      <c r="J56" s="343"/>
      <c r="L56" s="266"/>
      <c r="P56" s="364"/>
    </row>
    <row r="57" spans="1:16" x14ac:dyDescent="0.2">
      <c r="B57" s="340"/>
      <c r="C57" s="79"/>
      <c r="D57" s="331"/>
      <c r="F57" s="331"/>
      <c r="J57" s="331"/>
    </row>
  </sheetData>
  <mergeCells count="17">
    <mergeCell ref="A47:B47"/>
    <mergeCell ref="A2:G2"/>
    <mergeCell ref="A3:G3"/>
    <mergeCell ref="A5:B5"/>
    <mergeCell ref="A6:B6"/>
    <mergeCell ref="A17:B17"/>
    <mergeCell ref="A23:B23"/>
    <mergeCell ref="A33:B33"/>
    <mergeCell ref="A38:B38"/>
    <mergeCell ref="A42:B42"/>
    <mergeCell ref="A43:B43"/>
    <mergeCell ref="A44:B44"/>
    <mergeCell ref="A49:B49"/>
    <mergeCell ref="A52:D52"/>
    <mergeCell ref="E52:F52"/>
    <mergeCell ref="A54:D54"/>
    <mergeCell ref="E54:F54"/>
  </mergeCells>
  <pageMargins left="0.7" right="0.7" top="0.75" bottom="0.75" header="0.3" footer="0.3"/>
  <pageSetup scale="91" orientation="portrait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2C36E-9687-4334-A4DE-4E307C229804}">
  <dimension ref="A1:R57"/>
  <sheetViews>
    <sheetView topLeftCell="A14" zoomScale="110" zoomScaleNormal="110" workbookViewId="0">
      <selection activeCell="F41" sqref="F41"/>
    </sheetView>
  </sheetViews>
  <sheetFormatPr defaultColWidth="9.140625" defaultRowHeight="11.25" x14ac:dyDescent="0.2"/>
  <cols>
    <col min="1" max="1" width="10.7109375" style="479" customWidth="1"/>
    <col min="2" max="2" width="28.140625" style="479" customWidth="1"/>
    <col min="3" max="3" width="10.5703125" style="479" customWidth="1"/>
    <col min="4" max="4" width="9.42578125" style="479" customWidth="1"/>
    <col min="5" max="5" width="9.140625" style="479"/>
    <col min="6" max="6" width="10.28515625" style="479" customWidth="1"/>
    <col min="7" max="7" width="8.85546875" style="479" customWidth="1"/>
    <col min="8" max="8" width="12.140625" style="479" customWidth="1"/>
    <col min="9" max="9" width="14.7109375" style="479" customWidth="1"/>
    <col min="10" max="10" width="14.5703125" style="479" customWidth="1"/>
    <col min="11" max="11" width="11.28515625" style="479" customWidth="1"/>
    <col min="12" max="15" width="9.140625" style="479"/>
    <col min="16" max="16" width="13" style="479" customWidth="1"/>
    <col min="17" max="16384" width="9.140625" style="479"/>
  </cols>
  <sheetData>
    <row r="1" spans="1:18" hidden="1" x14ac:dyDescent="0.2"/>
    <row r="2" spans="1:18" x14ac:dyDescent="0.2">
      <c r="A2" s="786" t="s">
        <v>0</v>
      </c>
      <c r="B2" s="786"/>
      <c r="C2" s="786"/>
      <c r="D2" s="786"/>
      <c r="E2" s="786"/>
      <c r="F2" s="786"/>
      <c r="G2" s="786"/>
      <c r="H2" s="475"/>
    </row>
    <row r="3" spans="1:18" x14ac:dyDescent="0.2">
      <c r="A3" s="787" t="s">
        <v>116</v>
      </c>
      <c r="B3" s="787"/>
      <c r="C3" s="787"/>
      <c r="D3" s="787"/>
      <c r="E3" s="787"/>
      <c r="F3" s="787"/>
      <c r="G3" s="787"/>
      <c r="H3" s="476"/>
    </row>
    <row r="4" spans="1:18" ht="12" thickBot="1" x14ac:dyDescent="0.25">
      <c r="B4" s="265" t="s">
        <v>37</v>
      </c>
      <c r="F4" s="266"/>
      <c r="I4" s="267"/>
    </row>
    <row r="5" spans="1:18" x14ac:dyDescent="0.2">
      <c r="A5" s="788" t="s">
        <v>1</v>
      </c>
      <c r="B5" s="789"/>
      <c r="C5" s="268" t="s">
        <v>2</v>
      </c>
      <c r="D5" s="268" t="s">
        <v>3</v>
      </c>
      <c r="E5" s="268" t="s">
        <v>58</v>
      </c>
      <c r="F5" s="268" t="s">
        <v>5</v>
      </c>
      <c r="G5" s="268" t="s">
        <v>6</v>
      </c>
      <c r="H5" s="269"/>
      <c r="I5" s="269"/>
    </row>
    <row r="6" spans="1:18" ht="15" x14ac:dyDescent="0.25">
      <c r="A6" s="803" t="s">
        <v>7</v>
      </c>
      <c r="B6" s="804"/>
      <c r="C6" s="270">
        <f>SUM(C7:C16)</f>
        <v>214326.22999999992</v>
      </c>
      <c r="D6" s="271">
        <f>SUM(D7:D16)</f>
        <v>935.5</v>
      </c>
      <c r="E6" s="271">
        <f>SUM(E7:E16)</f>
        <v>-1664.1299999999999</v>
      </c>
      <c r="F6" s="271">
        <f>SUM(F7:F16)</f>
        <v>216925.85999999993</v>
      </c>
      <c r="G6" s="272">
        <f>SUM(G7:G15)</f>
        <v>0</v>
      </c>
      <c r="H6" s="273"/>
      <c r="I6" s="273"/>
      <c r="J6" s="273"/>
      <c r="K6" s="480"/>
      <c r="P6" s="480"/>
      <c r="R6" s="480"/>
    </row>
    <row r="7" spans="1:18" ht="12" customHeight="1" x14ac:dyDescent="0.2">
      <c r="A7" s="275"/>
      <c r="B7" s="276" t="s">
        <v>23</v>
      </c>
      <c r="C7" s="277">
        <f>'July 2022'!F7</f>
        <v>221263.77999999994</v>
      </c>
      <c r="D7" s="278">
        <v>156.5</v>
      </c>
      <c r="E7" s="430">
        <f>1000+135.82+165+1117.71+363.75-5939.23</f>
        <v>-3156.95</v>
      </c>
      <c r="F7" s="279">
        <f>C7+D7-E7</f>
        <v>224577.22999999995</v>
      </c>
      <c r="G7" s="280"/>
      <c r="H7" s="281"/>
      <c r="I7" s="480"/>
    </row>
    <row r="8" spans="1:18" x14ac:dyDescent="0.2">
      <c r="A8" s="282"/>
      <c r="B8" s="283" t="s">
        <v>62</v>
      </c>
      <c r="C8" s="277">
        <f>'July 2022'!F8</f>
        <v>-9688.9700000000012</v>
      </c>
      <c r="D8" s="284"/>
      <c r="E8" s="284">
        <v>1027.98</v>
      </c>
      <c r="F8" s="286">
        <f t="shared" ref="F8:F15" si="0">C8+D8-E8</f>
        <v>-10716.95</v>
      </c>
      <c r="G8" s="280"/>
      <c r="H8" s="273"/>
      <c r="I8" s="287"/>
    </row>
    <row r="9" spans="1:18" hidden="1" x14ac:dyDescent="0.2">
      <c r="A9" s="282"/>
      <c r="B9" s="288" t="s">
        <v>67</v>
      </c>
      <c r="C9" s="277">
        <f>'July 2022'!F9</f>
        <v>0</v>
      </c>
      <c r="D9" s="284"/>
      <c r="E9" s="284"/>
      <c r="F9" s="279">
        <f t="shared" si="0"/>
        <v>0</v>
      </c>
      <c r="G9" s="280"/>
      <c r="H9" s="273"/>
      <c r="I9" s="289"/>
      <c r="J9" s="480"/>
    </row>
    <row r="10" spans="1:18" hidden="1" x14ac:dyDescent="0.2">
      <c r="A10" s="282"/>
      <c r="B10" s="288" t="s">
        <v>41</v>
      </c>
      <c r="C10" s="277">
        <f>'July 2022'!F10</f>
        <v>-1.0000000002037268E-2</v>
      </c>
      <c r="D10" s="290"/>
      <c r="E10" s="290"/>
      <c r="F10" s="286">
        <f t="shared" si="0"/>
        <v>-1.0000000002037268E-2</v>
      </c>
      <c r="G10" s="280"/>
      <c r="H10" s="273"/>
      <c r="I10" s="291"/>
      <c r="J10" s="480"/>
    </row>
    <row r="11" spans="1:18" x14ac:dyDescent="0.2">
      <c r="A11" s="282"/>
      <c r="B11" s="288" t="s">
        <v>117</v>
      </c>
      <c r="C11" s="277">
        <f>'July 2022'!F11</f>
        <v>0</v>
      </c>
      <c r="D11" s="292">
        <v>720</v>
      </c>
      <c r="E11" s="292">
        <v>220</v>
      </c>
      <c r="F11" s="279">
        <f t="shared" si="0"/>
        <v>500</v>
      </c>
      <c r="G11" s="280"/>
      <c r="H11" s="273"/>
      <c r="I11" s="293"/>
    </row>
    <row r="12" spans="1:18" x14ac:dyDescent="0.2">
      <c r="A12" s="282"/>
      <c r="B12" s="288" t="s">
        <v>20</v>
      </c>
      <c r="C12" s="277">
        <f>'July 2022'!F12</f>
        <v>2892.5500000000011</v>
      </c>
      <c r="D12" s="294">
        <f>21.52+33.68</f>
        <v>55.2</v>
      </c>
      <c r="E12" s="294"/>
      <c r="F12" s="295">
        <f>C12+D12-E12</f>
        <v>2947.7500000000009</v>
      </c>
      <c r="G12" s="280"/>
      <c r="H12" s="273"/>
      <c r="I12" s="480"/>
    </row>
    <row r="13" spans="1:18" x14ac:dyDescent="0.2">
      <c r="A13" s="282"/>
      <c r="B13" s="288" t="s">
        <v>22</v>
      </c>
      <c r="C13" s="277">
        <f>'July 2022'!F13</f>
        <v>13.139999999999873</v>
      </c>
      <c r="D13" s="294">
        <v>3.8</v>
      </c>
      <c r="E13" s="294"/>
      <c r="F13" s="295">
        <f>C13+D13-E13</f>
        <v>16.939999999999873</v>
      </c>
      <c r="G13" s="280"/>
      <c r="H13" s="273"/>
      <c r="I13" s="480"/>
    </row>
    <row r="14" spans="1:18" x14ac:dyDescent="0.2">
      <c r="A14" s="282"/>
      <c r="B14" s="288" t="s">
        <v>28</v>
      </c>
      <c r="C14" s="277">
        <f>'July 2022'!F14</f>
        <v>-331.63000000000113</v>
      </c>
      <c r="D14" s="294"/>
      <c r="E14" s="294">
        <v>244.84</v>
      </c>
      <c r="F14" s="286">
        <f t="shared" si="0"/>
        <v>-576.47000000000116</v>
      </c>
      <c r="G14" s="280"/>
      <c r="H14" s="273"/>
      <c r="I14" s="480"/>
    </row>
    <row r="15" spans="1:18" x14ac:dyDescent="0.2">
      <c r="A15" s="282"/>
      <c r="B15" s="296" t="s">
        <v>42</v>
      </c>
      <c r="C15" s="277">
        <f>'July 2022'!F15</f>
        <v>866.25</v>
      </c>
      <c r="D15" s="284"/>
      <c r="E15" s="284"/>
      <c r="F15" s="297">
        <f t="shared" si="0"/>
        <v>866.25</v>
      </c>
      <c r="G15" s="280"/>
      <c r="H15" s="273"/>
      <c r="I15" s="480"/>
    </row>
    <row r="16" spans="1:18" x14ac:dyDescent="0.2">
      <c r="A16" s="282"/>
      <c r="B16" s="296" t="s">
        <v>43</v>
      </c>
      <c r="C16" s="277">
        <f>'July 2022'!F16</f>
        <v>-688.88000000000034</v>
      </c>
      <c r="D16" s="284"/>
      <c r="E16" s="284"/>
      <c r="F16" s="295">
        <f>C16+D16-E16</f>
        <v>-688.88000000000034</v>
      </c>
      <c r="G16" s="280"/>
      <c r="H16" s="273"/>
      <c r="I16" s="273"/>
      <c r="P16" s="480"/>
    </row>
    <row r="17" spans="1:16" ht="15" x14ac:dyDescent="0.25">
      <c r="A17" s="805" t="s">
        <v>53</v>
      </c>
      <c r="B17" s="806"/>
      <c r="C17" s="298">
        <f>SUM(C18:C22)</f>
        <v>-28528.12</v>
      </c>
      <c r="D17" s="299">
        <f>SUM(D18:D22)</f>
        <v>20176</v>
      </c>
      <c r="E17" s="299">
        <f>SUM(E18:E22)</f>
        <v>5033.9299999999994</v>
      </c>
      <c r="F17" s="286">
        <f>SUM(F18:F22)</f>
        <v>-13386.050000000003</v>
      </c>
      <c r="G17" s="300"/>
      <c r="H17" s="273"/>
      <c r="I17" s="273"/>
      <c r="P17" s="480"/>
    </row>
    <row r="18" spans="1:16" x14ac:dyDescent="0.2">
      <c r="A18" s="301"/>
      <c r="B18" s="302" t="s">
        <v>9</v>
      </c>
      <c r="C18" s="303">
        <f>'July 2022'!F18</f>
        <v>-9260.2400000000016</v>
      </c>
      <c r="D18" s="304">
        <v>15176</v>
      </c>
      <c r="E18" s="305">
        <v>1360.09</v>
      </c>
      <c r="F18" s="306">
        <f>C18+D18-E18</f>
        <v>4555.6699999999983</v>
      </c>
      <c r="G18" s="284"/>
      <c r="H18" s="273"/>
      <c r="I18" s="480"/>
      <c r="J18" s="79"/>
    </row>
    <row r="19" spans="1:16" x14ac:dyDescent="0.2">
      <c r="A19" s="282"/>
      <c r="B19" s="307" t="s">
        <v>8</v>
      </c>
      <c r="C19" s="303">
        <f>'July 2022'!F19</f>
        <v>-9511.8000000000011</v>
      </c>
      <c r="D19" s="294"/>
      <c r="E19" s="290">
        <f>2295.99+223.35</f>
        <v>2519.3399999999997</v>
      </c>
      <c r="F19" s="306">
        <f>C19+D19-E19</f>
        <v>-12031.140000000001</v>
      </c>
      <c r="G19" s="308"/>
      <c r="H19" s="273"/>
      <c r="I19" s="480"/>
    </row>
    <row r="20" spans="1:16" x14ac:dyDescent="0.2">
      <c r="A20" s="282"/>
      <c r="B20" s="307" t="s">
        <v>32</v>
      </c>
      <c r="C20" s="303">
        <f>'July 2022'!F20</f>
        <v>-2186.7800000000007</v>
      </c>
      <c r="D20" s="294">
        <v>5000</v>
      </c>
      <c r="E20" s="290">
        <v>173.97</v>
      </c>
      <c r="F20" s="306">
        <f t="shared" ref="F20:F22" si="1">C20+D20-E20</f>
        <v>2639.2499999999995</v>
      </c>
      <c r="G20" s="309"/>
      <c r="H20" s="273"/>
      <c r="I20" s="480"/>
    </row>
    <row r="21" spans="1:16" hidden="1" x14ac:dyDescent="0.2">
      <c r="A21" s="282"/>
      <c r="B21" s="307" t="s">
        <v>67</v>
      </c>
      <c r="C21" s="303">
        <f>'July 2022'!F21</f>
        <v>-9.0951551845463996E-15</v>
      </c>
      <c r="D21" s="294"/>
      <c r="E21" s="294"/>
      <c r="F21" s="306">
        <f t="shared" si="1"/>
        <v>-9.0951551845463996E-15</v>
      </c>
      <c r="G21" s="309"/>
      <c r="H21" s="273"/>
      <c r="I21" s="480"/>
    </row>
    <row r="22" spans="1:16" x14ac:dyDescent="0.2">
      <c r="A22" s="310"/>
      <c r="B22" s="311" t="s">
        <v>38</v>
      </c>
      <c r="C22" s="303">
        <f>'July 2022'!F22</f>
        <v>-7569.2999999999993</v>
      </c>
      <c r="D22" s="312"/>
      <c r="E22" s="305">
        <v>980.53</v>
      </c>
      <c r="F22" s="306">
        <f t="shared" si="1"/>
        <v>-8549.83</v>
      </c>
      <c r="G22" s="284">
        <v>8500</v>
      </c>
      <c r="H22" s="273"/>
      <c r="I22" s="480"/>
      <c r="J22" s="79"/>
    </row>
    <row r="23" spans="1:16" x14ac:dyDescent="0.2">
      <c r="A23" s="807" t="s">
        <v>10</v>
      </c>
      <c r="B23" s="808"/>
      <c r="C23" s="298">
        <f>SUM(C24:C32)</f>
        <v>240774.76000000004</v>
      </c>
      <c r="D23" s="313">
        <f>SUM(D24:D32)</f>
        <v>821.47</v>
      </c>
      <c r="E23" s="314">
        <f>SUM(E24:E32)</f>
        <v>19606.54</v>
      </c>
      <c r="F23" s="314">
        <f>SUM(F24:F32)-0.08</f>
        <v>221989.61000000004</v>
      </c>
      <c r="G23" s="315">
        <f>SUM(G32:G36)</f>
        <v>70000</v>
      </c>
      <c r="H23" s="273"/>
      <c r="I23" s="273"/>
      <c r="P23" s="480"/>
    </row>
    <row r="24" spans="1:16" hidden="1" x14ac:dyDescent="0.2">
      <c r="A24" s="301"/>
      <c r="B24" s="316" t="s">
        <v>55</v>
      </c>
      <c r="C24" s="303">
        <f>'February 2021'!G24</f>
        <v>0</v>
      </c>
      <c r="D24" s="317"/>
      <c r="E24" s="304"/>
      <c r="F24" s="318">
        <f>C24+D24-E24</f>
        <v>0</v>
      </c>
      <c r="G24" s="278"/>
      <c r="H24" s="273"/>
      <c r="I24" s="480"/>
      <c r="J24" s="319"/>
    </row>
    <row r="25" spans="1:16" hidden="1" x14ac:dyDescent="0.2">
      <c r="A25" s="310"/>
      <c r="B25" s="296" t="s">
        <v>70</v>
      </c>
      <c r="C25" s="303">
        <f>'January 2022'!F25</f>
        <v>7.9999999998108251E-2</v>
      </c>
      <c r="D25" s="312"/>
      <c r="E25" s="312"/>
      <c r="F25" s="318">
        <f>C25+D25-E25</f>
        <v>7.9999999998108251E-2</v>
      </c>
      <c r="G25" s="284"/>
      <c r="H25" s="273"/>
      <c r="I25" s="480"/>
      <c r="J25" s="319"/>
    </row>
    <row r="26" spans="1:16" x14ac:dyDescent="0.2">
      <c r="A26" s="275"/>
      <c r="B26" s="320" t="s">
        <v>105</v>
      </c>
      <c r="C26" s="303">
        <f>'July 2022'!F26</f>
        <v>13443.600000000008</v>
      </c>
      <c r="D26" s="305"/>
      <c r="E26" s="321">
        <v>1708.02</v>
      </c>
      <c r="F26" s="318">
        <f t="shared" ref="F26:F30" si="2">C26+D26-E26</f>
        <v>11735.580000000007</v>
      </c>
      <c r="G26" s="284"/>
      <c r="H26" s="273"/>
      <c r="I26" s="480"/>
      <c r="J26" s="480"/>
    </row>
    <row r="27" spans="1:16" hidden="1" x14ac:dyDescent="0.2">
      <c r="A27" s="275"/>
      <c r="B27" s="320" t="s">
        <v>39</v>
      </c>
      <c r="C27" s="303">
        <f>'July 2022'!F27</f>
        <v>8.1854523159563541E-12</v>
      </c>
      <c r="D27" s="312"/>
      <c r="E27" s="305"/>
      <c r="F27" s="318">
        <f t="shared" si="2"/>
        <v>8.1854523159563541E-12</v>
      </c>
      <c r="G27" s="284"/>
      <c r="H27" s="273"/>
      <c r="I27" s="480"/>
      <c r="J27" s="480"/>
    </row>
    <row r="28" spans="1:16" x14ac:dyDescent="0.2">
      <c r="A28" s="275"/>
      <c r="B28" s="320" t="s">
        <v>115</v>
      </c>
      <c r="C28" s="303">
        <f>'July 2022'!F28</f>
        <v>18710</v>
      </c>
      <c r="D28" s="312"/>
      <c r="E28" s="312"/>
      <c r="F28" s="318">
        <f t="shared" si="2"/>
        <v>18710</v>
      </c>
      <c r="G28" s="284"/>
      <c r="H28" s="273"/>
      <c r="I28" s="480"/>
      <c r="J28" s="480"/>
    </row>
    <row r="29" spans="1:16" x14ac:dyDescent="0.2">
      <c r="A29" s="275"/>
      <c r="B29" s="320" t="s">
        <v>86</v>
      </c>
      <c r="C29" s="303">
        <f>'July 2022'!F29</f>
        <v>88523.5</v>
      </c>
      <c r="D29" s="312"/>
      <c r="E29" s="312">
        <v>15267.64</v>
      </c>
      <c r="F29" s="318">
        <f t="shared" si="2"/>
        <v>73255.86</v>
      </c>
      <c r="G29" s="284"/>
      <c r="H29" s="273"/>
      <c r="I29" s="480"/>
      <c r="J29" s="480"/>
    </row>
    <row r="30" spans="1:16" x14ac:dyDescent="0.2">
      <c r="A30" s="275"/>
      <c r="B30" s="320" t="s">
        <v>101</v>
      </c>
      <c r="C30" s="303">
        <f>'July 2022'!F30</f>
        <v>124406</v>
      </c>
      <c r="D30" s="312"/>
      <c r="E30" s="312"/>
      <c r="F30" s="318">
        <f t="shared" si="2"/>
        <v>124406</v>
      </c>
      <c r="G30" s="284"/>
      <c r="H30" s="273"/>
      <c r="I30" s="480"/>
      <c r="J30" s="480"/>
    </row>
    <row r="31" spans="1:16" x14ac:dyDescent="0.2">
      <c r="A31" s="275"/>
      <c r="B31" s="296" t="s">
        <v>44</v>
      </c>
      <c r="C31" s="303">
        <f>'July 2022'!F31</f>
        <v>-2815.27</v>
      </c>
      <c r="D31" s="312"/>
      <c r="E31" s="305">
        <v>860.32</v>
      </c>
      <c r="F31" s="318">
        <f>C31+D31-E31</f>
        <v>-3675.59</v>
      </c>
      <c r="G31" s="284"/>
      <c r="H31" s="273"/>
      <c r="I31" s="480"/>
      <c r="J31" s="480"/>
    </row>
    <row r="32" spans="1:16" x14ac:dyDescent="0.2">
      <c r="A32" s="310"/>
      <c r="B32" s="479" t="s">
        <v>111</v>
      </c>
      <c r="C32" s="303">
        <f>'July 2022'!F32</f>
        <v>-1493.15</v>
      </c>
      <c r="D32" s="468">
        <v>821.47</v>
      </c>
      <c r="E32" s="479">
        <f>833.04+937.52</f>
        <v>1770.56</v>
      </c>
      <c r="F32" s="324">
        <f>C32+D32-E32</f>
        <v>-2442.2399999999998</v>
      </c>
      <c r="G32" s="284"/>
      <c r="H32" s="273"/>
      <c r="I32" s="480"/>
      <c r="J32" s="319"/>
    </row>
    <row r="33" spans="1:16" x14ac:dyDescent="0.2">
      <c r="A33" s="809" t="s">
        <v>35</v>
      </c>
      <c r="B33" s="810"/>
      <c r="C33" s="298">
        <f>SUM(C34:C37)</f>
        <v>84674.74</v>
      </c>
      <c r="D33" s="313">
        <f>SUM(D34:D37)</f>
        <v>0</v>
      </c>
      <c r="E33" s="314">
        <f>SUM(E34:E36)</f>
        <v>1487.73</v>
      </c>
      <c r="F33" s="314">
        <f>SUM(F34:F37)</f>
        <v>83187.010000000009</v>
      </c>
      <c r="G33" s="315">
        <f>SUM(G34:G36)</f>
        <v>35000</v>
      </c>
      <c r="H33" s="273"/>
      <c r="I33" s="273"/>
      <c r="P33" s="480"/>
    </row>
    <row r="34" spans="1:16" x14ac:dyDescent="0.2">
      <c r="A34" s="310"/>
      <c r="B34" s="296" t="s">
        <v>114</v>
      </c>
      <c r="C34" s="303">
        <f>'July 2022'!F34</f>
        <v>33713.61</v>
      </c>
      <c r="D34" s="322"/>
      <c r="E34" s="323">
        <v>347.93</v>
      </c>
      <c r="F34" s="324">
        <f>C34+D34-E34</f>
        <v>33365.68</v>
      </c>
      <c r="G34" s="284"/>
      <c r="H34" s="273"/>
      <c r="I34" s="480"/>
      <c r="J34" s="319"/>
    </row>
    <row r="35" spans="1:16" x14ac:dyDescent="0.2">
      <c r="A35" s="310"/>
      <c r="B35" s="296" t="s">
        <v>90</v>
      </c>
      <c r="C35" s="303">
        <f>'July 2022'!F35</f>
        <v>24385.600000000006</v>
      </c>
      <c r="D35" s="322"/>
      <c r="E35" s="323">
        <v>423.05</v>
      </c>
      <c r="F35" s="324">
        <f t="shared" ref="F35" si="3">C35+D35-E35</f>
        <v>23962.550000000007</v>
      </c>
      <c r="G35" s="284">
        <v>35000</v>
      </c>
      <c r="H35" s="273"/>
      <c r="I35" s="480"/>
      <c r="J35" s="319"/>
    </row>
    <row r="36" spans="1:16" x14ac:dyDescent="0.2">
      <c r="A36" s="310"/>
      <c r="B36" s="325" t="s">
        <v>103</v>
      </c>
      <c r="C36" s="303">
        <f>'July 2022'!F36</f>
        <v>16025.529999999997</v>
      </c>
      <c r="D36" s="322"/>
      <c r="E36" s="305">
        <v>716.75</v>
      </c>
      <c r="F36" s="324">
        <f>C36+D36-E36</f>
        <v>15308.779999999997</v>
      </c>
      <c r="G36" s="284"/>
      <c r="H36" s="273"/>
      <c r="I36" s="293"/>
      <c r="J36" s="266"/>
      <c r="P36" s="326"/>
    </row>
    <row r="37" spans="1:16" ht="12" thickBot="1" x14ac:dyDescent="0.25">
      <c r="B37" s="479" t="s">
        <v>99</v>
      </c>
      <c r="C37" s="303">
        <f>'July 2022'!F37</f>
        <v>10550</v>
      </c>
      <c r="D37" s="464"/>
      <c r="F37" s="324">
        <f>C37+D37-E37</f>
        <v>10550</v>
      </c>
    </row>
    <row r="38" spans="1:16" ht="12" thickBot="1" x14ac:dyDescent="0.25">
      <c r="A38" s="794" t="s">
        <v>11</v>
      </c>
      <c r="B38" s="795"/>
      <c r="C38" s="466">
        <f>C33+C23+C17+C6+369.29</f>
        <v>511616.89999999997</v>
      </c>
      <c r="D38" s="465">
        <f>SUM(D23,D17,D6,D33)</f>
        <v>21932.97</v>
      </c>
      <c r="E38" s="328">
        <f>SUM(E23,E17,E6,E33)</f>
        <v>24464.07</v>
      </c>
      <c r="F38" s="329">
        <f>SUM(F23,F17,F6,F33)+369.29</f>
        <v>509085.72</v>
      </c>
      <c r="G38" s="330">
        <f>SUM(G6,G16,G23,G33)</f>
        <v>105000</v>
      </c>
      <c r="H38" s="480"/>
      <c r="I38" s="480"/>
      <c r="J38" s="331"/>
    </row>
    <row r="39" spans="1:16" hidden="1" x14ac:dyDescent="0.2">
      <c r="A39" s="477"/>
      <c r="B39" s="478"/>
      <c r="C39" s="480">
        <f>SUM(C17:C22)</f>
        <v>-57056.240000000005</v>
      </c>
      <c r="D39" s="480"/>
      <c r="E39" s="480"/>
      <c r="F39" s="480"/>
      <c r="G39" s="334"/>
      <c r="H39" s="480"/>
      <c r="K39" s="479" t="s">
        <v>12</v>
      </c>
      <c r="L39" s="479">
        <v>42.43</v>
      </c>
    </row>
    <row r="40" spans="1:16" ht="12" hidden="1" thickBot="1" x14ac:dyDescent="0.25">
      <c r="A40" s="335" t="s">
        <v>25</v>
      </c>
      <c r="B40" s="336"/>
      <c r="C40" s="337" t="e">
        <f>SUM(C38,#REF!)</f>
        <v>#REF!</v>
      </c>
      <c r="D40" s="338" t="e">
        <f>SUM(D38,#REF!)</f>
        <v>#REF!</v>
      </c>
      <c r="E40" s="338" t="e">
        <f>SUM(E38,#REF!)</f>
        <v>#REF!</v>
      </c>
      <c r="F40" s="339" t="e">
        <f>SUM(F38,#REF!)</f>
        <v>#REF!</v>
      </c>
      <c r="G40" s="334"/>
      <c r="H40" s="480"/>
      <c r="I40" s="331"/>
      <c r="J40" s="79">
        <v>206730.35</v>
      </c>
    </row>
    <row r="41" spans="1:16" ht="12" thickBot="1" x14ac:dyDescent="0.25">
      <c r="B41" s="340"/>
      <c r="C41" s="480"/>
      <c r="D41" s="480"/>
      <c r="E41" s="480"/>
      <c r="F41" s="480"/>
      <c r="G41" s="334"/>
      <c r="H41" s="341"/>
      <c r="I41" s="331"/>
      <c r="J41" s="79"/>
      <c r="P41" s="480"/>
    </row>
    <row r="42" spans="1:16" ht="12" thickBot="1" x14ac:dyDescent="0.25">
      <c r="A42" s="796" t="s">
        <v>13</v>
      </c>
      <c r="B42" s="797"/>
      <c r="C42" s="342" t="s">
        <v>2</v>
      </c>
      <c r="D42" s="342" t="s">
        <v>3</v>
      </c>
      <c r="E42" s="342" t="s">
        <v>27</v>
      </c>
      <c r="F42" s="342" t="s">
        <v>5</v>
      </c>
      <c r="G42" s="269"/>
      <c r="H42" s="331"/>
      <c r="I42" s="343"/>
    </row>
    <row r="43" spans="1:16" ht="12" thickBot="1" x14ac:dyDescent="0.25">
      <c r="A43" s="784" t="s">
        <v>14</v>
      </c>
      <c r="B43" s="785"/>
      <c r="C43" s="344">
        <f>'July 2022'!F43</f>
        <v>172.81</v>
      </c>
      <c r="D43" s="345"/>
      <c r="E43" s="345"/>
      <c r="F43" s="346">
        <f>C43+D43-E43</f>
        <v>172.81</v>
      </c>
      <c r="G43" s="480"/>
      <c r="I43" s="331"/>
      <c r="J43" s="79"/>
    </row>
    <row r="44" spans="1:16" ht="12" thickBot="1" x14ac:dyDescent="0.25">
      <c r="A44" s="798" t="s">
        <v>15</v>
      </c>
      <c r="B44" s="799"/>
      <c r="C44" s="344">
        <f>'July 2022'!F44</f>
        <v>18659.420000000016</v>
      </c>
      <c r="D44" s="347">
        <v>20000</v>
      </c>
      <c r="E44" s="347">
        <v>27304.36</v>
      </c>
      <c r="F44" s="346">
        <f>C44+D44-E44</f>
        <v>11355.060000000012</v>
      </c>
      <c r="G44" s="480"/>
      <c r="H44" s="349"/>
      <c r="I44" s="331"/>
    </row>
    <row r="45" spans="1:16" ht="12" thickBot="1" x14ac:dyDescent="0.25">
      <c r="A45" s="350"/>
      <c r="B45" s="351" t="s">
        <v>21</v>
      </c>
      <c r="C45" s="344">
        <f>'July 2022'!F45</f>
        <v>0</v>
      </c>
      <c r="D45" s="352"/>
      <c r="E45" s="352"/>
      <c r="F45" s="346">
        <f t="shared" ref="F45:F47" si="4">C45+D45-E45</f>
        <v>0</v>
      </c>
      <c r="G45" s="480"/>
      <c r="H45" s="349"/>
      <c r="I45" s="79"/>
    </row>
    <row r="46" spans="1:16" ht="12" thickBot="1" x14ac:dyDescent="0.25">
      <c r="A46" s="350"/>
      <c r="B46" s="351" t="s">
        <v>40</v>
      </c>
      <c r="C46" s="344">
        <f>'July 2022'!F46</f>
        <v>-4183.5400000000009</v>
      </c>
      <c r="D46" s="353">
        <v>3682.02</v>
      </c>
      <c r="E46" s="353"/>
      <c r="F46" s="346">
        <f>C46+D46-E46</f>
        <v>-501.52000000000089</v>
      </c>
      <c r="G46" s="480"/>
      <c r="H46" s="79"/>
      <c r="I46" s="79"/>
    </row>
    <row r="47" spans="1:16" ht="12" thickBot="1" x14ac:dyDescent="0.25">
      <c r="A47" s="784" t="s">
        <v>16</v>
      </c>
      <c r="B47" s="785"/>
      <c r="C47" s="344">
        <f>'July 2022'!F47</f>
        <v>265713.8600000001</v>
      </c>
      <c r="D47" s="355">
        <v>22106.61</v>
      </c>
      <c r="E47" s="355">
        <v>20000</v>
      </c>
      <c r="F47" s="346">
        <f t="shared" si="4"/>
        <v>267820.47000000009</v>
      </c>
      <c r="G47" s="480"/>
      <c r="H47" s="79"/>
      <c r="I47" s="79"/>
    </row>
    <row r="48" spans="1:16" ht="12" thickBot="1" x14ac:dyDescent="0.25">
      <c r="A48" s="357" t="s">
        <v>46</v>
      </c>
      <c r="B48" s="358"/>
      <c r="C48" s="344">
        <f>'July 2022'!F48</f>
        <v>231932.14999999994</v>
      </c>
      <c r="D48" s="322">
        <v>85.36</v>
      </c>
      <c r="E48" s="322">
        <f>1000+100.74</f>
        <v>1100.74</v>
      </c>
      <c r="F48" s="346">
        <f>C48+D48-E48</f>
        <v>230916.76999999993</v>
      </c>
      <c r="G48" s="480"/>
      <c r="H48" s="79"/>
      <c r="I48" s="79"/>
    </row>
    <row r="49" spans="1:16" ht="12" thickBot="1" x14ac:dyDescent="0.25">
      <c r="A49" s="800"/>
      <c r="B49" s="795"/>
      <c r="C49" s="360">
        <f>SUM(C43+C44+C47+C48+C46+C45)</f>
        <v>512294.70000000013</v>
      </c>
      <c r="D49" s="361">
        <f>SUM(D43:D48)</f>
        <v>45873.990000000005</v>
      </c>
      <c r="E49" s="361">
        <f>SUM(E43:E48)</f>
        <v>48405.1</v>
      </c>
      <c r="F49" s="346">
        <f>C49+D49-E49+0.04</f>
        <v>509763.63000000018</v>
      </c>
      <c r="G49" s="480"/>
      <c r="H49" s="331"/>
      <c r="I49" s="79"/>
      <c r="J49" s="266"/>
    </row>
    <row r="50" spans="1:16" x14ac:dyDescent="0.2">
      <c r="A50" s="477"/>
      <c r="B50" s="478"/>
      <c r="C50" s="480">
        <f>C38-C49</f>
        <v>-677.80000000016298</v>
      </c>
      <c r="D50" s="480"/>
      <c r="E50" s="480"/>
      <c r="F50" s="480">
        <f>F38-F49</f>
        <v>-677.91000000020722</v>
      </c>
      <c r="H50" s="480"/>
      <c r="I50" s="331"/>
      <c r="J50" s="331"/>
      <c r="K50" s="266"/>
    </row>
    <row r="51" spans="1:16" x14ac:dyDescent="0.2">
      <c r="B51" s="340"/>
      <c r="C51" s="480"/>
      <c r="D51" s="480"/>
      <c r="E51" s="480"/>
      <c r="F51" s="480"/>
      <c r="G51" s="480"/>
      <c r="H51" s="480"/>
      <c r="I51" s="331"/>
    </row>
    <row r="52" spans="1:16" x14ac:dyDescent="0.2">
      <c r="A52" s="801" t="s">
        <v>17</v>
      </c>
      <c r="B52" s="801"/>
      <c r="C52" s="801"/>
      <c r="D52" s="801"/>
      <c r="E52" s="802" t="s">
        <v>18</v>
      </c>
      <c r="F52" s="802"/>
      <c r="G52" s="480"/>
      <c r="H52" s="480"/>
      <c r="J52" s="331"/>
    </row>
    <row r="53" spans="1:16" x14ac:dyDescent="0.2">
      <c r="C53" s="480"/>
      <c r="D53" s="480"/>
      <c r="E53" s="480"/>
      <c r="F53" s="480"/>
      <c r="G53" s="480"/>
      <c r="H53" s="480"/>
    </row>
    <row r="54" spans="1:16" x14ac:dyDescent="0.2">
      <c r="A54" s="801" t="s">
        <v>19</v>
      </c>
      <c r="B54" s="801"/>
      <c r="C54" s="801"/>
      <c r="D54" s="801"/>
      <c r="E54" s="802" t="s">
        <v>18</v>
      </c>
      <c r="F54" s="802"/>
      <c r="G54" s="480"/>
      <c r="H54" s="480"/>
    </row>
    <row r="55" spans="1:16" x14ac:dyDescent="0.2">
      <c r="A55" s="477"/>
      <c r="B55" s="478"/>
      <c r="C55" s="266"/>
      <c r="D55" s="266"/>
      <c r="E55" s="266"/>
      <c r="F55" s="79"/>
      <c r="G55" s="266"/>
      <c r="H55" s="266"/>
      <c r="I55" s="331"/>
      <c r="J55" s="79"/>
      <c r="P55" s="364"/>
    </row>
    <row r="56" spans="1:16" x14ac:dyDescent="0.2">
      <c r="B56" s="340"/>
      <c r="C56" s="331"/>
      <c r="D56" s="331"/>
      <c r="E56" s="331"/>
      <c r="F56" s="331"/>
      <c r="I56" s="331"/>
      <c r="J56" s="343"/>
      <c r="L56" s="266"/>
      <c r="P56" s="364"/>
    </row>
    <row r="57" spans="1:16" x14ac:dyDescent="0.2">
      <c r="B57" s="340"/>
      <c r="C57" s="79"/>
      <c r="D57" s="331"/>
      <c r="F57" s="331"/>
      <c r="J57" s="331"/>
    </row>
  </sheetData>
  <mergeCells count="17">
    <mergeCell ref="A47:B47"/>
    <mergeCell ref="A2:G2"/>
    <mergeCell ref="A3:G3"/>
    <mergeCell ref="A5:B5"/>
    <mergeCell ref="A6:B6"/>
    <mergeCell ref="A17:B17"/>
    <mergeCell ref="A23:B23"/>
    <mergeCell ref="A33:B33"/>
    <mergeCell ref="A38:B38"/>
    <mergeCell ref="A42:B42"/>
    <mergeCell ref="A43:B43"/>
    <mergeCell ref="A44:B44"/>
    <mergeCell ref="A49:B49"/>
    <mergeCell ref="A52:D52"/>
    <mergeCell ref="E52:F52"/>
    <mergeCell ref="A54:D54"/>
    <mergeCell ref="E54:F54"/>
  </mergeCells>
  <pageMargins left="0.7" right="0.7" top="0.75" bottom="0.75" header="0.3" footer="0.3"/>
  <pageSetup orientation="portrait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16BA8-7814-4DDD-8B7C-30344194E7B1}">
  <dimension ref="A1:R58"/>
  <sheetViews>
    <sheetView topLeftCell="B11" zoomScale="120" zoomScaleNormal="120" workbookViewId="0">
      <selection activeCell="F42" sqref="F42"/>
    </sheetView>
  </sheetViews>
  <sheetFormatPr defaultColWidth="9.140625" defaultRowHeight="11.25" x14ac:dyDescent="0.2"/>
  <cols>
    <col min="1" max="1" width="10.7109375" style="485" customWidth="1"/>
    <col min="2" max="2" width="28.140625" style="485" customWidth="1"/>
    <col min="3" max="3" width="10.5703125" style="485" customWidth="1"/>
    <col min="4" max="4" width="9.42578125" style="485" customWidth="1"/>
    <col min="5" max="5" width="9.140625" style="485"/>
    <col min="6" max="6" width="10.28515625" style="485" customWidth="1"/>
    <col min="7" max="7" width="8.85546875" style="485" customWidth="1"/>
    <col min="8" max="8" width="12.140625" style="485" customWidth="1"/>
    <col min="9" max="9" width="14.7109375" style="485" customWidth="1"/>
    <col min="10" max="10" width="14.5703125" style="485" customWidth="1"/>
    <col min="11" max="11" width="11.28515625" style="485" customWidth="1"/>
    <col min="12" max="15" width="9.140625" style="485"/>
    <col min="16" max="16" width="13" style="485" customWidth="1"/>
    <col min="17" max="16384" width="9.140625" style="485"/>
  </cols>
  <sheetData>
    <row r="1" spans="1:18" hidden="1" x14ac:dyDescent="0.2"/>
    <row r="2" spans="1:18" x14ac:dyDescent="0.2">
      <c r="A2" s="786" t="s">
        <v>0</v>
      </c>
      <c r="B2" s="786"/>
      <c r="C2" s="786"/>
      <c r="D2" s="786"/>
      <c r="E2" s="786"/>
      <c r="F2" s="786"/>
      <c r="G2" s="786"/>
      <c r="H2" s="481"/>
    </row>
    <row r="3" spans="1:18" x14ac:dyDescent="0.2">
      <c r="A3" s="787" t="s">
        <v>118</v>
      </c>
      <c r="B3" s="787"/>
      <c r="C3" s="787"/>
      <c r="D3" s="787"/>
      <c r="E3" s="787"/>
      <c r="F3" s="787"/>
      <c r="G3" s="787"/>
      <c r="H3" s="482"/>
    </row>
    <row r="4" spans="1:18" ht="12" thickBot="1" x14ac:dyDescent="0.25">
      <c r="B4" s="265" t="s">
        <v>37</v>
      </c>
      <c r="F4" s="266"/>
      <c r="I4" s="267"/>
    </row>
    <row r="5" spans="1:18" x14ac:dyDescent="0.2">
      <c r="A5" s="788" t="s">
        <v>1</v>
      </c>
      <c r="B5" s="789"/>
      <c r="C5" s="268" t="s">
        <v>2</v>
      </c>
      <c r="D5" s="268" t="s">
        <v>3</v>
      </c>
      <c r="E5" s="268" t="s">
        <v>58</v>
      </c>
      <c r="F5" s="268" t="s">
        <v>5</v>
      </c>
      <c r="G5" s="268" t="s">
        <v>6</v>
      </c>
      <c r="H5" s="269"/>
      <c r="I5" s="269"/>
    </row>
    <row r="6" spans="1:18" ht="15" x14ac:dyDescent="0.25">
      <c r="A6" s="803" t="s">
        <v>7</v>
      </c>
      <c r="B6" s="804"/>
      <c r="C6" s="270">
        <f>SUM(C7:C16)</f>
        <v>216925.85999999993</v>
      </c>
      <c r="D6" s="271">
        <f>SUM(D7:D16)</f>
        <v>386.89</v>
      </c>
      <c r="E6" s="271">
        <f>SUM(E7:E16)</f>
        <v>-2544.5599999999995</v>
      </c>
      <c r="F6" s="271">
        <f>SUM(F7:F16)</f>
        <v>219857.30999999994</v>
      </c>
      <c r="G6" s="272">
        <f>SUM(G7:G15)</f>
        <v>0</v>
      </c>
      <c r="H6" s="273"/>
      <c r="I6" s="273"/>
      <c r="J6" s="273"/>
      <c r="K6" s="486"/>
      <c r="P6" s="486"/>
      <c r="R6" s="486"/>
    </row>
    <row r="7" spans="1:18" ht="12" customHeight="1" x14ac:dyDescent="0.2">
      <c r="A7" s="275"/>
      <c r="B7" s="276" t="s">
        <v>23</v>
      </c>
      <c r="C7" s="277">
        <f>'August 2022'!F7</f>
        <v>224577.22999999995</v>
      </c>
      <c r="D7" s="278">
        <v>165.16</v>
      </c>
      <c r="E7" s="430">
        <f>1000+1649.67+335.38+523.89+1518.24-9897.31</f>
        <v>-4870.1299999999992</v>
      </c>
      <c r="F7" s="279">
        <f>C7+D7-E7</f>
        <v>229612.51999999996</v>
      </c>
      <c r="G7" s="280"/>
      <c r="H7" s="281"/>
      <c r="I7" s="486"/>
    </row>
    <row r="8" spans="1:18" x14ac:dyDescent="0.2">
      <c r="A8" s="282"/>
      <c r="B8" s="283" t="s">
        <v>62</v>
      </c>
      <c r="C8" s="277">
        <f>'August 2022'!F8</f>
        <v>-10716.95</v>
      </c>
      <c r="D8" s="284">
        <v>149.72999999999999</v>
      </c>
      <c r="E8" s="284">
        <f>2278.22+47.35</f>
        <v>2325.5699999999997</v>
      </c>
      <c r="F8" s="286">
        <f t="shared" ref="F8:F15" si="0">C8+D8-E8</f>
        <v>-12892.79</v>
      </c>
      <c r="G8" s="280"/>
      <c r="H8" s="273"/>
      <c r="I8" s="287"/>
    </row>
    <row r="9" spans="1:18" hidden="1" x14ac:dyDescent="0.2">
      <c r="A9" s="282"/>
      <c r="B9" s="288" t="s">
        <v>67</v>
      </c>
      <c r="C9" s="277">
        <f>'August 2022'!F9</f>
        <v>0</v>
      </c>
      <c r="D9" s="284"/>
      <c r="E9" s="284"/>
      <c r="F9" s="279">
        <f t="shared" si="0"/>
        <v>0</v>
      </c>
      <c r="G9" s="280"/>
      <c r="H9" s="273"/>
      <c r="I9" s="289"/>
      <c r="J9" s="486"/>
    </row>
    <row r="10" spans="1:18" hidden="1" x14ac:dyDescent="0.2">
      <c r="A10" s="282"/>
      <c r="B10" s="288" t="s">
        <v>41</v>
      </c>
      <c r="C10" s="277">
        <f>'August 2022'!F10</f>
        <v>-1.0000000002037268E-2</v>
      </c>
      <c r="D10" s="290"/>
      <c r="E10" s="290"/>
      <c r="F10" s="286">
        <f t="shared" si="0"/>
        <v>-1.0000000002037268E-2</v>
      </c>
      <c r="G10" s="280"/>
      <c r="H10" s="273"/>
      <c r="I10" s="291"/>
      <c r="J10" s="486"/>
    </row>
    <row r="11" spans="1:18" x14ac:dyDescent="0.2">
      <c r="A11" s="282"/>
      <c r="B11" s="288" t="s">
        <v>117</v>
      </c>
      <c r="C11" s="277">
        <f>'August 2022'!F11</f>
        <v>500</v>
      </c>
      <c r="D11" s="292"/>
      <c r="E11" s="292"/>
      <c r="F11" s="279">
        <f t="shared" si="0"/>
        <v>500</v>
      </c>
      <c r="G11" s="280"/>
      <c r="H11" s="273"/>
      <c r="I11" s="293"/>
    </row>
    <row r="12" spans="1:18" x14ac:dyDescent="0.2">
      <c r="A12" s="282"/>
      <c r="B12" s="288" t="s">
        <v>20</v>
      </c>
      <c r="C12" s="277">
        <f>'August 2022'!F12</f>
        <v>2947.7500000000009</v>
      </c>
      <c r="D12" s="294">
        <v>67.36</v>
      </c>
      <c r="E12" s="294"/>
      <c r="F12" s="295">
        <f>C12+D12-E12</f>
        <v>3015.110000000001</v>
      </c>
      <c r="G12" s="280"/>
      <c r="H12" s="273"/>
      <c r="I12" s="486"/>
    </row>
    <row r="13" spans="1:18" x14ac:dyDescent="0.2">
      <c r="A13" s="282"/>
      <c r="B13" s="288" t="s">
        <v>22</v>
      </c>
      <c r="C13" s="277">
        <f>'August 2022'!F13</f>
        <v>16.939999999999873</v>
      </c>
      <c r="D13" s="294">
        <v>4.6399999999999997</v>
      </c>
      <c r="E13" s="294"/>
      <c r="F13" s="295">
        <f>C13+D13-E13</f>
        <v>21.579999999999874</v>
      </c>
      <c r="G13" s="280"/>
      <c r="H13" s="273"/>
      <c r="I13" s="486"/>
    </row>
    <row r="14" spans="1:18" x14ac:dyDescent="0.2">
      <c r="A14" s="282"/>
      <c r="B14" s="288" t="s">
        <v>28</v>
      </c>
      <c r="C14" s="277">
        <f>'August 2022'!F14</f>
        <v>-576.47000000000116</v>
      </c>
      <c r="D14" s="294"/>
      <c r="E14" s="294"/>
      <c r="F14" s="286">
        <f t="shared" si="0"/>
        <v>-576.47000000000116</v>
      </c>
      <c r="G14" s="280"/>
      <c r="H14" s="273"/>
      <c r="I14" s="486"/>
    </row>
    <row r="15" spans="1:18" x14ac:dyDescent="0.2">
      <c r="A15" s="282"/>
      <c r="B15" s="296" t="s">
        <v>42</v>
      </c>
      <c r="C15" s="277">
        <f>'August 2022'!F15</f>
        <v>866.25</v>
      </c>
      <c r="D15" s="284"/>
      <c r="E15" s="284"/>
      <c r="F15" s="297">
        <f t="shared" si="0"/>
        <v>866.25</v>
      </c>
      <c r="G15" s="280"/>
      <c r="H15" s="273"/>
      <c r="I15" s="486"/>
    </row>
    <row r="16" spans="1:18" x14ac:dyDescent="0.2">
      <c r="A16" s="282"/>
      <c r="B16" s="296" t="s">
        <v>43</v>
      </c>
      <c r="C16" s="277">
        <f>'August 2022'!F16</f>
        <v>-688.88000000000034</v>
      </c>
      <c r="D16" s="284"/>
      <c r="E16" s="284"/>
      <c r="F16" s="295">
        <f>C16+D16-E16</f>
        <v>-688.88000000000034</v>
      </c>
      <c r="G16" s="280"/>
      <c r="H16" s="273"/>
      <c r="I16" s="273"/>
      <c r="P16" s="486"/>
    </row>
    <row r="17" spans="1:16" ht="15" x14ac:dyDescent="0.25">
      <c r="A17" s="805" t="s">
        <v>53</v>
      </c>
      <c r="B17" s="806"/>
      <c r="C17" s="298">
        <f>SUM(C18:C22)</f>
        <v>-13386.050000000003</v>
      </c>
      <c r="D17" s="299">
        <f>SUM(D18:D22)</f>
        <v>4041.93</v>
      </c>
      <c r="E17" s="299">
        <f>SUM(E18:E22)</f>
        <v>2914.9000000000005</v>
      </c>
      <c r="F17" s="286">
        <f>SUM(F18:F22)</f>
        <v>-12259.020000000004</v>
      </c>
      <c r="G17" s="300"/>
      <c r="H17" s="273"/>
      <c r="I17" s="273"/>
      <c r="P17" s="486"/>
    </row>
    <row r="18" spans="1:16" x14ac:dyDescent="0.2">
      <c r="A18" s="301"/>
      <c r="B18" s="302" t="s">
        <v>9</v>
      </c>
      <c r="C18" s="303">
        <f>'August 2022'!F18</f>
        <v>4555.6699999999983</v>
      </c>
      <c r="D18" s="304"/>
      <c r="E18" s="305">
        <v>592.04999999999995</v>
      </c>
      <c r="F18" s="306">
        <f>C18+D18-E18</f>
        <v>3963.6199999999981</v>
      </c>
      <c r="G18" s="284"/>
      <c r="H18" s="273"/>
      <c r="I18" s="486"/>
      <c r="J18" s="79"/>
    </row>
    <row r="19" spans="1:16" x14ac:dyDescent="0.2">
      <c r="A19" s="282"/>
      <c r="B19" s="307" t="s">
        <v>8</v>
      </c>
      <c r="C19" s="303">
        <f>'August 2022'!F19</f>
        <v>-12031.140000000001</v>
      </c>
      <c r="D19" s="294">
        <v>4041.93</v>
      </c>
      <c r="E19" s="290">
        <f>1584.06+169.44</f>
        <v>1753.5</v>
      </c>
      <c r="F19" s="306">
        <f>C19+D19-E19</f>
        <v>-9742.7100000000009</v>
      </c>
      <c r="G19" s="308"/>
      <c r="H19" s="273"/>
      <c r="I19" s="486"/>
    </row>
    <row r="20" spans="1:16" x14ac:dyDescent="0.2">
      <c r="A20" s="282"/>
      <c r="B20" s="307" t="s">
        <v>32</v>
      </c>
      <c r="C20" s="303">
        <f>'August 2022'!F20</f>
        <v>2639.2499999999995</v>
      </c>
      <c r="D20" s="294"/>
      <c r="E20" s="290">
        <v>142.34</v>
      </c>
      <c r="F20" s="306">
        <f t="shared" ref="F20:F22" si="1">C20+D20-E20</f>
        <v>2496.9099999999994</v>
      </c>
      <c r="G20" s="309"/>
      <c r="H20" s="273"/>
      <c r="I20" s="486"/>
    </row>
    <row r="21" spans="1:16" hidden="1" x14ac:dyDescent="0.2">
      <c r="A21" s="282"/>
      <c r="B21" s="307" t="s">
        <v>67</v>
      </c>
      <c r="C21" s="303">
        <f>'August 2022'!F21</f>
        <v>-9.0951551845463996E-15</v>
      </c>
      <c r="D21" s="294"/>
      <c r="E21" s="294"/>
      <c r="F21" s="306">
        <f t="shared" si="1"/>
        <v>-9.0951551845463996E-15</v>
      </c>
      <c r="G21" s="309"/>
      <c r="H21" s="273"/>
      <c r="I21" s="486"/>
    </row>
    <row r="22" spans="1:16" x14ac:dyDescent="0.2">
      <c r="A22" s="310"/>
      <c r="B22" s="311" t="s">
        <v>38</v>
      </c>
      <c r="C22" s="303">
        <f>'August 2022'!F22</f>
        <v>-8549.83</v>
      </c>
      <c r="D22" s="312"/>
      <c r="E22" s="305">
        <v>427.01</v>
      </c>
      <c r="F22" s="306">
        <f t="shared" si="1"/>
        <v>-8976.84</v>
      </c>
      <c r="G22" s="284">
        <v>8500</v>
      </c>
      <c r="H22" s="273"/>
      <c r="I22" s="486"/>
      <c r="J22" s="79"/>
    </row>
    <row r="23" spans="1:16" x14ac:dyDescent="0.2">
      <c r="A23" s="807" t="s">
        <v>10</v>
      </c>
      <c r="B23" s="808"/>
      <c r="C23" s="298">
        <f>SUM(C24:C33)</f>
        <v>221989.69000000003</v>
      </c>
      <c r="D23" s="313">
        <f>SUM(D24:D33)</f>
        <v>0</v>
      </c>
      <c r="E23" s="314">
        <f>SUM(E24:E33)</f>
        <v>18214.189999999999</v>
      </c>
      <c r="F23" s="314">
        <f>SUM(F24:F33)-0.08</f>
        <v>203775.42</v>
      </c>
      <c r="G23" s="315">
        <f>SUM(G33:G37)</f>
        <v>87000</v>
      </c>
      <c r="H23" s="273"/>
      <c r="I23" s="273"/>
      <c r="P23" s="486"/>
    </row>
    <row r="24" spans="1:16" hidden="1" x14ac:dyDescent="0.2">
      <c r="A24" s="301"/>
      <c r="B24" s="316" t="s">
        <v>55</v>
      </c>
      <c r="C24" s="303">
        <f>'February 2021'!G24</f>
        <v>0</v>
      </c>
      <c r="D24" s="317"/>
      <c r="E24" s="304"/>
      <c r="F24" s="318">
        <f>C24+D24-E24</f>
        <v>0</v>
      </c>
      <c r="G24" s="278"/>
      <c r="H24" s="273"/>
      <c r="I24" s="486"/>
      <c r="J24" s="319"/>
    </row>
    <row r="25" spans="1:16" hidden="1" x14ac:dyDescent="0.2">
      <c r="A25" s="310"/>
      <c r="B25" s="296" t="s">
        <v>70</v>
      </c>
      <c r="C25" s="303">
        <f>'January 2022'!F25</f>
        <v>7.9999999998108251E-2</v>
      </c>
      <c r="D25" s="312"/>
      <c r="E25" s="312"/>
      <c r="F25" s="318">
        <f>C25+D25-E25</f>
        <v>7.9999999998108251E-2</v>
      </c>
      <c r="G25" s="284"/>
      <c r="H25" s="273"/>
      <c r="I25" s="486"/>
      <c r="J25" s="319"/>
    </row>
    <row r="26" spans="1:16" x14ac:dyDescent="0.2">
      <c r="A26" s="275"/>
      <c r="B26" s="320" t="s">
        <v>105</v>
      </c>
      <c r="C26" s="303">
        <f>'August 2022'!F26</f>
        <v>11735.580000000007</v>
      </c>
      <c r="D26" s="305"/>
      <c r="E26" s="321">
        <v>1859.27</v>
      </c>
      <c r="F26" s="318">
        <f t="shared" ref="F26:F31" si="2">C26+D26-E26</f>
        <v>9876.3100000000068</v>
      </c>
      <c r="G26" s="284"/>
      <c r="H26" s="273"/>
      <c r="I26" s="486"/>
      <c r="J26" s="486"/>
    </row>
    <row r="27" spans="1:16" hidden="1" x14ac:dyDescent="0.2">
      <c r="A27" s="275"/>
      <c r="B27" s="320" t="s">
        <v>39</v>
      </c>
      <c r="C27" s="303">
        <f>'August 2022'!F27</f>
        <v>8.1854523159563541E-12</v>
      </c>
      <c r="D27" s="312"/>
      <c r="E27" s="305"/>
      <c r="F27" s="318">
        <f t="shared" si="2"/>
        <v>8.1854523159563541E-12</v>
      </c>
      <c r="G27" s="284"/>
      <c r="H27" s="273"/>
      <c r="I27" s="486"/>
      <c r="J27" s="486"/>
    </row>
    <row r="28" spans="1:16" x14ac:dyDescent="0.2">
      <c r="A28" s="275"/>
      <c r="B28" s="320" t="s">
        <v>115</v>
      </c>
      <c r="C28" s="303">
        <f>'August 2022'!F28</f>
        <v>18710</v>
      </c>
      <c r="D28" s="312"/>
      <c r="E28" s="312"/>
      <c r="F28" s="318">
        <f t="shared" si="2"/>
        <v>18710</v>
      </c>
      <c r="G28" s="284"/>
      <c r="H28" s="273"/>
      <c r="I28" s="486"/>
      <c r="J28" s="486"/>
    </row>
    <row r="29" spans="1:16" x14ac:dyDescent="0.2">
      <c r="A29" s="275"/>
      <c r="B29" s="320" t="s">
        <v>86</v>
      </c>
      <c r="C29" s="303">
        <f>'August 2022'!F29</f>
        <v>73255.86</v>
      </c>
      <c r="D29" s="312"/>
      <c r="E29" s="312">
        <v>14706.58</v>
      </c>
      <c r="F29" s="318">
        <f t="shared" si="2"/>
        <v>58549.279999999999</v>
      </c>
      <c r="G29" s="284"/>
      <c r="H29" s="273"/>
      <c r="I29" s="486"/>
      <c r="J29" s="486"/>
    </row>
    <row r="30" spans="1:16" x14ac:dyDescent="0.2">
      <c r="A30" s="275"/>
      <c r="B30" s="320" t="s">
        <v>101</v>
      </c>
      <c r="C30" s="303">
        <f>'August 2022'!F30</f>
        <v>124406</v>
      </c>
      <c r="D30" s="312"/>
      <c r="E30" s="312"/>
      <c r="F30" s="318">
        <f t="shared" si="2"/>
        <v>124406</v>
      </c>
      <c r="G30" s="284"/>
      <c r="H30" s="273"/>
      <c r="I30" s="486"/>
      <c r="J30" s="486"/>
    </row>
    <row r="31" spans="1:16" x14ac:dyDescent="0.2">
      <c r="A31" s="275"/>
      <c r="B31" s="320" t="s">
        <v>119</v>
      </c>
      <c r="C31" s="303">
        <v>0</v>
      </c>
      <c r="D31" s="312"/>
      <c r="E31" s="312"/>
      <c r="F31" s="318">
        <f t="shared" si="2"/>
        <v>0</v>
      </c>
      <c r="G31" s="284">
        <v>118184</v>
      </c>
      <c r="H31" s="273"/>
      <c r="I31" s="486"/>
      <c r="J31" s="486"/>
    </row>
    <row r="32" spans="1:16" x14ac:dyDescent="0.2">
      <c r="A32" s="275"/>
      <c r="B32" s="296" t="s">
        <v>44</v>
      </c>
      <c r="C32" s="303">
        <f>'August 2022'!F31</f>
        <v>-3675.59</v>
      </c>
      <c r="D32" s="312"/>
      <c r="E32" s="305">
        <v>942.57</v>
      </c>
      <c r="F32" s="318">
        <f>C32+D32-E32</f>
        <v>-4618.16</v>
      </c>
      <c r="G32" s="284"/>
      <c r="H32" s="273"/>
      <c r="I32" s="486"/>
      <c r="J32" s="486"/>
    </row>
    <row r="33" spans="1:16" x14ac:dyDescent="0.2">
      <c r="A33" s="310"/>
      <c r="B33" s="485" t="s">
        <v>111</v>
      </c>
      <c r="C33" s="303">
        <f>'August 2022'!F32</f>
        <v>-2442.2399999999998</v>
      </c>
      <c r="D33" s="468"/>
      <c r="E33" s="485">
        <v>705.77</v>
      </c>
      <c r="F33" s="324">
        <f>C33+D33-E33</f>
        <v>-3148.0099999999998</v>
      </c>
      <c r="G33" s="284"/>
      <c r="H33" s="273"/>
      <c r="I33" s="486"/>
      <c r="J33" s="319"/>
    </row>
    <row r="34" spans="1:16" x14ac:dyDescent="0.2">
      <c r="A34" s="809" t="s">
        <v>35</v>
      </c>
      <c r="B34" s="810"/>
      <c r="C34" s="298">
        <f>SUM(C35:C38)</f>
        <v>83187.010000000009</v>
      </c>
      <c r="D34" s="313">
        <f>SUM(D35:D38)</f>
        <v>0</v>
      </c>
      <c r="E34" s="314">
        <f>SUM(E35:E37)</f>
        <v>1963.5700000000002</v>
      </c>
      <c r="F34" s="314">
        <f>SUM(F35:F38)</f>
        <v>81223.44</v>
      </c>
      <c r="G34" s="315">
        <f>SUM(G35:G37)</f>
        <v>43500</v>
      </c>
      <c r="H34" s="273"/>
      <c r="I34" s="273"/>
      <c r="P34" s="486"/>
    </row>
    <row r="35" spans="1:16" x14ac:dyDescent="0.2">
      <c r="A35" s="310"/>
      <c r="B35" s="296" t="s">
        <v>114</v>
      </c>
      <c r="C35" s="303">
        <f>'August 2022'!F34</f>
        <v>33365.68</v>
      </c>
      <c r="D35" s="322"/>
      <c r="E35" s="323">
        <v>205.6</v>
      </c>
      <c r="F35" s="324">
        <f>C35+D35-E35</f>
        <v>33160.080000000002</v>
      </c>
      <c r="G35" s="284"/>
      <c r="H35" s="273"/>
      <c r="I35" s="486"/>
      <c r="J35" s="319"/>
    </row>
    <row r="36" spans="1:16" x14ac:dyDescent="0.2">
      <c r="A36" s="310"/>
      <c r="B36" s="296" t="s">
        <v>90</v>
      </c>
      <c r="C36" s="303">
        <f>'August 2022'!F35</f>
        <v>23962.550000000007</v>
      </c>
      <c r="D36" s="322"/>
      <c r="E36" s="323">
        <f>541.09+855.96</f>
        <v>1397.0500000000002</v>
      </c>
      <c r="F36" s="324">
        <f t="shared" ref="F36" si="3">C36+D36-E36</f>
        <v>22565.500000000007</v>
      </c>
      <c r="G36" s="284">
        <v>35000</v>
      </c>
      <c r="H36" s="273"/>
      <c r="I36" s="486"/>
      <c r="J36" s="319"/>
    </row>
    <row r="37" spans="1:16" x14ac:dyDescent="0.2">
      <c r="A37" s="310"/>
      <c r="B37" s="325" t="s">
        <v>120</v>
      </c>
      <c r="C37" s="303">
        <f>'August 2022'!F36</f>
        <v>15308.779999999997</v>
      </c>
      <c r="D37" s="322"/>
      <c r="E37" s="305">
        <v>360.92</v>
      </c>
      <c r="F37" s="324">
        <f>C37+D37-E37</f>
        <v>14947.859999999997</v>
      </c>
      <c r="G37" s="284">
        <v>8500</v>
      </c>
      <c r="H37" s="273"/>
      <c r="I37" s="293"/>
      <c r="J37" s="266"/>
      <c r="P37" s="326"/>
    </row>
    <row r="38" spans="1:16" ht="12" thickBot="1" x14ac:dyDescent="0.25">
      <c r="B38" s="485" t="s">
        <v>99</v>
      </c>
      <c r="C38" s="303">
        <f>'August 2022'!F37</f>
        <v>10550</v>
      </c>
      <c r="D38" s="464"/>
      <c r="F38" s="324">
        <f>C38+D38-E38</f>
        <v>10550</v>
      </c>
    </row>
    <row r="39" spans="1:16" ht="12" thickBot="1" x14ac:dyDescent="0.25">
      <c r="A39" s="794" t="s">
        <v>11</v>
      </c>
      <c r="B39" s="795"/>
      <c r="C39" s="466">
        <f>C34+C23+C17+C6+369.29</f>
        <v>509085.8</v>
      </c>
      <c r="D39" s="465">
        <f>SUM(D23,D17,D6,D34)</f>
        <v>4428.82</v>
      </c>
      <c r="E39" s="328">
        <f>SUM(E23,E17,E6,E34)</f>
        <v>20548.099999999999</v>
      </c>
      <c r="F39" s="329">
        <f>SUM(F23,F17,F6,F34)+369.29</f>
        <v>492966.43999999994</v>
      </c>
      <c r="G39" s="330">
        <f>SUM(G6,G16,G23,G34)</f>
        <v>130500</v>
      </c>
      <c r="H39" s="486"/>
      <c r="I39" s="486"/>
      <c r="J39" s="331"/>
    </row>
    <row r="40" spans="1:16" hidden="1" x14ac:dyDescent="0.2">
      <c r="A40" s="483"/>
      <c r="B40" s="484"/>
      <c r="C40" s="486">
        <f>SUM(C17:C22)</f>
        <v>-26772.100000000006</v>
      </c>
      <c r="D40" s="486"/>
      <c r="E40" s="486"/>
      <c r="F40" s="486"/>
      <c r="G40" s="334"/>
      <c r="H40" s="486"/>
      <c r="K40" s="485" t="s">
        <v>12</v>
      </c>
      <c r="L40" s="485">
        <v>42.43</v>
      </c>
    </row>
    <row r="41" spans="1:16" ht="12" hidden="1" thickBot="1" x14ac:dyDescent="0.25">
      <c r="A41" s="335" t="s">
        <v>25</v>
      </c>
      <c r="B41" s="336"/>
      <c r="C41" s="337" t="e">
        <f>SUM(C39,#REF!)</f>
        <v>#REF!</v>
      </c>
      <c r="D41" s="338" t="e">
        <f>SUM(D39,#REF!)</f>
        <v>#REF!</v>
      </c>
      <c r="E41" s="338" t="e">
        <f>SUM(E39,#REF!)</f>
        <v>#REF!</v>
      </c>
      <c r="F41" s="339" t="e">
        <f>SUM(F39,#REF!)</f>
        <v>#REF!</v>
      </c>
      <c r="G41" s="334"/>
      <c r="H41" s="486"/>
      <c r="I41" s="331"/>
      <c r="J41" s="79">
        <v>206730.35</v>
      </c>
    </row>
    <row r="42" spans="1:16" ht="12" thickBot="1" x14ac:dyDescent="0.25">
      <c r="B42" s="340"/>
      <c r="C42" s="486"/>
      <c r="D42" s="486"/>
      <c r="E42" s="486"/>
      <c r="F42" s="486"/>
      <c r="G42" s="334"/>
      <c r="H42" s="341"/>
      <c r="I42" s="331"/>
      <c r="J42" s="79"/>
      <c r="P42" s="486"/>
    </row>
    <row r="43" spans="1:16" ht="12" thickBot="1" x14ac:dyDescent="0.25">
      <c r="A43" s="796" t="s">
        <v>13</v>
      </c>
      <c r="B43" s="797"/>
      <c r="C43" s="342" t="s">
        <v>2</v>
      </c>
      <c r="D43" s="342" t="s">
        <v>3</v>
      </c>
      <c r="E43" s="342" t="s">
        <v>27</v>
      </c>
      <c r="F43" s="342" t="s">
        <v>5</v>
      </c>
      <c r="G43" s="269"/>
      <c r="H43" s="331"/>
      <c r="I43" s="343"/>
    </row>
    <row r="44" spans="1:16" ht="12" thickBot="1" x14ac:dyDescent="0.25">
      <c r="A44" s="784" t="s">
        <v>14</v>
      </c>
      <c r="B44" s="785"/>
      <c r="C44" s="344">
        <f>'August 2022'!F43</f>
        <v>172.81</v>
      </c>
      <c r="D44" s="345"/>
      <c r="E44" s="345">
        <v>11.28</v>
      </c>
      <c r="F44" s="346">
        <f>C44+D44-E44</f>
        <v>161.53</v>
      </c>
      <c r="G44" s="486"/>
      <c r="I44" s="331"/>
      <c r="J44" s="79"/>
    </row>
    <row r="45" spans="1:16" ht="12" thickBot="1" x14ac:dyDescent="0.25">
      <c r="A45" s="798" t="s">
        <v>15</v>
      </c>
      <c r="B45" s="799"/>
      <c r="C45" s="344">
        <f>'August 2022'!F44</f>
        <v>11355.060000000012</v>
      </c>
      <c r="D45" s="347">
        <v>20000</v>
      </c>
      <c r="E45" s="347">
        <v>16952.439999999999</v>
      </c>
      <c r="F45" s="346">
        <f>C45+D45-E45</f>
        <v>14402.620000000014</v>
      </c>
      <c r="G45" s="486"/>
      <c r="H45" s="349"/>
      <c r="I45" s="331"/>
    </row>
    <row r="46" spans="1:16" ht="12" thickBot="1" x14ac:dyDescent="0.25">
      <c r="A46" s="350"/>
      <c r="B46" s="351" t="s">
        <v>21</v>
      </c>
      <c r="C46" s="344">
        <f>'August 2022'!F45</f>
        <v>0</v>
      </c>
      <c r="D46" s="352"/>
      <c r="E46" s="352"/>
      <c r="F46" s="346">
        <f t="shared" ref="F46:F48" si="4">C46+D46-E46</f>
        <v>0</v>
      </c>
      <c r="G46" s="486"/>
      <c r="H46" s="349"/>
      <c r="I46" s="79"/>
    </row>
    <row r="47" spans="1:16" ht="12" thickBot="1" x14ac:dyDescent="0.25">
      <c r="A47" s="350"/>
      <c r="B47" s="351" t="s">
        <v>40</v>
      </c>
      <c r="C47" s="344">
        <f>'August 2022'!F46</f>
        <v>-501.52000000000089</v>
      </c>
      <c r="D47" s="353"/>
      <c r="E47" s="353">
        <v>2490.7600000000002</v>
      </c>
      <c r="F47" s="346">
        <f>C47+D47-E47</f>
        <v>-2992.2800000000011</v>
      </c>
      <c r="G47" s="486"/>
      <c r="H47" s="79"/>
      <c r="I47" s="79"/>
    </row>
    <row r="48" spans="1:16" ht="12" thickBot="1" x14ac:dyDescent="0.25">
      <c r="A48" s="784" t="s">
        <v>16</v>
      </c>
      <c r="B48" s="785"/>
      <c r="C48" s="344">
        <f>'August 2022'!F47</f>
        <v>267820.47000000009</v>
      </c>
      <c r="D48" s="355">
        <v>4327.96</v>
      </c>
      <c r="E48" s="355">
        <v>20000</v>
      </c>
      <c r="F48" s="346">
        <f t="shared" si="4"/>
        <v>252148.43000000011</v>
      </c>
      <c r="G48" s="486"/>
      <c r="H48" s="79"/>
      <c r="I48" s="79"/>
    </row>
    <row r="49" spans="1:16" ht="12" thickBot="1" x14ac:dyDescent="0.25">
      <c r="A49" s="357" t="s">
        <v>46</v>
      </c>
      <c r="B49" s="358"/>
      <c r="C49" s="344">
        <f>'August 2022'!F48</f>
        <v>230916.76999999993</v>
      </c>
      <c r="D49" s="322">
        <v>100.86</v>
      </c>
      <c r="E49" s="322">
        <f>1000+93.6</f>
        <v>1093.5999999999999</v>
      </c>
      <c r="F49" s="346">
        <f>C49+D49-E49</f>
        <v>229924.02999999991</v>
      </c>
      <c r="G49" s="486"/>
      <c r="H49" s="79"/>
      <c r="I49" s="79"/>
    </row>
    <row r="50" spans="1:16" ht="12" thickBot="1" x14ac:dyDescent="0.25">
      <c r="A50" s="800"/>
      <c r="B50" s="795"/>
      <c r="C50" s="360">
        <f>SUM(C44+C45+C48+C49+C47+C46)</f>
        <v>509763.58999999997</v>
      </c>
      <c r="D50" s="361">
        <f>SUM(D44:D49)</f>
        <v>24428.82</v>
      </c>
      <c r="E50" s="361">
        <f>SUM(E44:E49)</f>
        <v>40548.079999999994</v>
      </c>
      <c r="F50" s="346">
        <f>C50+D50-E50+0.04</f>
        <v>493644.36999999988</v>
      </c>
      <c r="G50" s="486"/>
      <c r="H50" s="331"/>
      <c r="I50" s="79"/>
      <c r="J50" s="266"/>
    </row>
    <row r="51" spans="1:16" x14ac:dyDescent="0.2">
      <c r="A51" s="483"/>
      <c r="B51" s="484"/>
      <c r="C51" s="486">
        <f>C39-C50</f>
        <v>-677.78999999997905</v>
      </c>
      <c r="D51" s="486"/>
      <c r="E51" s="486"/>
      <c r="F51" s="486">
        <f>F39-F50</f>
        <v>-677.92999999993481</v>
      </c>
      <c r="H51" s="486"/>
      <c r="I51" s="331"/>
      <c r="J51" s="331"/>
      <c r="K51" s="266"/>
    </row>
    <row r="52" spans="1:16" x14ac:dyDescent="0.2">
      <c r="B52" s="340"/>
      <c r="C52" s="486"/>
      <c r="D52" s="486"/>
      <c r="E52" s="486"/>
      <c r="F52" s="486"/>
      <c r="G52" s="486"/>
      <c r="H52" s="486"/>
      <c r="I52" s="331"/>
    </row>
    <row r="53" spans="1:16" x14ac:dyDescent="0.2">
      <c r="A53" s="801" t="s">
        <v>17</v>
      </c>
      <c r="B53" s="801"/>
      <c r="C53" s="801"/>
      <c r="D53" s="801"/>
      <c r="E53" s="802" t="s">
        <v>18</v>
      </c>
      <c r="F53" s="802"/>
      <c r="G53" s="486"/>
      <c r="H53" s="486"/>
      <c r="J53" s="331"/>
    </row>
    <row r="54" spans="1:16" x14ac:dyDescent="0.2">
      <c r="C54" s="486"/>
      <c r="D54" s="486"/>
      <c r="E54" s="486"/>
      <c r="F54" s="486"/>
      <c r="G54" s="486"/>
      <c r="H54" s="486"/>
    </row>
    <row r="55" spans="1:16" x14ac:dyDescent="0.2">
      <c r="A55" s="801" t="s">
        <v>19</v>
      </c>
      <c r="B55" s="801"/>
      <c r="C55" s="801"/>
      <c r="D55" s="801"/>
      <c r="E55" s="802" t="s">
        <v>18</v>
      </c>
      <c r="F55" s="802"/>
      <c r="G55" s="486"/>
      <c r="H55" s="486"/>
    </row>
    <row r="56" spans="1:16" x14ac:dyDescent="0.2">
      <c r="A56" s="483"/>
      <c r="B56" s="484"/>
      <c r="C56" s="266"/>
      <c r="D56" s="266"/>
      <c r="E56" s="266"/>
      <c r="F56" s="79"/>
      <c r="G56" s="266"/>
      <c r="H56" s="266"/>
      <c r="I56" s="331"/>
      <c r="J56" s="79"/>
      <c r="P56" s="364"/>
    </row>
    <row r="57" spans="1:16" x14ac:dyDescent="0.2">
      <c r="B57" s="340"/>
      <c r="C57" s="331"/>
      <c r="D57" s="331"/>
      <c r="E57" s="331"/>
      <c r="F57" s="331"/>
      <c r="I57" s="331"/>
      <c r="J57" s="343"/>
      <c r="L57" s="266"/>
      <c r="P57" s="364"/>
    </row>
    <row r="58" spans="1:16" x14ac:dyDescent="0.2">
      <c r="B58" s="340"/>
      <c r="C58" s="79"/>
      <c r="D58" s="331"/>
      <c r="F58" s="331"/>
      <c r="J58" s="331"/>
    </row>
  </sheetData>
  <mergeCells count="17">
    <mergeCell ref="A48:B48"/>
    <mergeCell ref="A2:G2"/>
    <mergeCell ref="A3:G3"/>
    <mergeCell ref="A5:B5"/>
    <mergeCell ref="A6:B6"/>
    <mergeCell ref="A17:B17"/>
    <mergeCell ref="A23:B23"/>
    <mergeCell ref="A34:B34"/>
    <mergeCell ref="A39:B39"/>
    <mergeCell ref="A43:B43"/>
    <mergeCell ref="A44:B44"/>
    <mergeCell ref="A45:B45"/>
    <mergeCell ref="A50:B50"/>
    <mergeCell ref="A53:D53"/>
    <mergeCell ref="E53:F53"/>
    <mergeCell ref="A55:D55"/>
    <mergeCell ref="E55:F55"/>
  </mergeCells>
  <pageMargins left="0.7" right="0.7" top="0.75" bottom="0.75" header="0.3" footer="0.3"/>
  <pageSetup orientation="portrait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53F88-0A67-4058-A2DC-F1F1A91E49EE}">
  <dimension ref="A1:R58"/>
  <sheetViews>
    <sheetView topLeftCell="A17" zoomScale="120" zoomScaleNormal="120" workbookViewId="0">
      <selection activeCell="E28" sqref="E28"/>
    </sheetView>
  </sheetViews>
  <sheetFormatPr defaultColWidth="9.140625" defaultRowHeight="11.25" x14ac:dyDescent="0.2"/>
  <cols>
    <col min="1" max="1" width="10.7109375" style="491" customWidth="1"/>
    <col min="2" max="2" width="28.140625" style="491" customWidth="1"/>
    <col min="3" max="3" width="10.5703125" style="491" customWidth="1"/>
    <col min="4" max="4" width="9.42578125" style="491" customWidth="1"/>
    <col min="5" max="5" width="9.140625" style="491"/>
    <col min="6" max="6" width="10.28515625" style="491" customWidth="1"/>
    <col min="7" max="7" width="8.85546875" style="491" customWidth="1"/>
    <col min="8" max="8" width="12.140625" style="491" customWidth="1"/>
    <col min="9" max="9" width="14.7109375" style="491" customWidth="1"/>
    <col min="10" max="10" width="14.5703125" style="491" customWidth="1"/>
    <col min="11" max="11" width="11.28515625" style="491" customWidth="1"/>
    <col min="12" max="15" width="9.140625" style="491"/>
    <col min="16" max="16" width="13" style="491" customWidth="1"/>
    <col min="17" max="16384" width="9.140625" style="491"/>
  </cols>
  <sheetData>
    <row r="1" spans="1:18" hidden="1" x14ac:dyDescent="0.2"/>
    <row r="2" spans="1:18" x14ac:dyDescent="0.2">
      <c r="A2" s="786" t="s">
        <v>0</v>
      </c>
      <c r="B2" s="786"/>
      <c r="C2" s="786"/>
      <c r="D2" s="786"/>
      <c r="E2" s="786"/>
      <c r="F2" s="786"/>
      <c r="G2" s="786"/>
      <c r="H2" s="487"/>
    </row>
    <row r="3" spans="1:18" x14ac:dyDescent="0.2">
      <c r="A3" s="787" t="s">
        <v>121</v>
      </c>
      <c r="B3" s="787"/>
      <c r="C3" s="787"/>
      <c r="D3" s="787"/>
      <c r="E3" s="787"/>
      <c r="F3" s="787"/>
      <c r="G3" s="787"/>
      <c r="H3" s="488"/>
    </row>
    <row r="4" spans="1:18" ht="12" thickBot="1" x14ac:dyDescent="0.25">
      <c r="B4" s="265" t="s">
        <v>37</v>
      </c>
      <c r="F4" s="266"/>
      <c r="I4" s="267"/>
    </row>
    <row r="5" spans="1:18" x14ac:dyDescent="0.2">
      <c r="A5" s="788" t="s">
        <v>1</v>
      </c>
      <c r="B5" s="789"/>
      <c r="C5" s="268" t="s">
        <v>2</v>
      </c>
      <c r="D5" s="268" t="s">
        <v>3</v>
      </c>
      <c r="E5" s="268" t="s">
        <v>58</v>
      </c>
      <c r="F5" s="268" t="s">
        <v>5</v>
      </c>
      <c r="G5" s="268" t="s">
        <v>6</v>
      </c>
      <c r="H5" s="269"/>
      <c r="I5" s="269"/>
    </row>
    <row r="6" spans="1:18" ht="15" x14ac:dyDescent="0.25">
      <c r="A6" s="803" t="s">
        <v>7</v>
      </c>
      <c r="B6" s="804"/>
      <c r="C6" s="270">
        <f>SUM(C7:C16)</f>
        <v>219857.30999999994</v>
      </c>
      <c r="D6" s="271">
        <f>SUM(D7:D16)</f>
        <v>315.92</v>
      </c>
      <c r="E6" s="271">
        <f>SUM(E7:E16)</f>
        <v>-5475.1400000000012</v>
      </c>
      <c r="F6" s="271">
        <f>SUM(F7:F16)</f>
        <v>225648.36999999997</v>
      </c>
      <c r="G6" s="272">
        <f>SUM(G7:G15)</f>
        <v>0</v>
      </c>
      <c r="H6" s="273"/>
      <c r="I6" s="273"/>
      <c r="J6" s="273"/>
      <c r="K6" s="492"/>
      <c r="P6" s="492"/>
      <c r="R6" s="492"/>
    </row>
    <row r="7" spans="1:18" ht="12" customHeight="1" x14ac:dyDescent="0.2">
      <c r="A7" s="275"/>
      <c r="B7" s="276" t="s">
        <v>23</v>
      </c>
      <c r="C7" s="277">
        <f>'September 2022'!F7</f>
        <v>229612.51999999996</v>
      </c>
      <c r="D7" s="278">
        <v>184.92</v>
      </c>
      <c r="E7" s="430">
        <f>1000+800.28+2330.63-13632.2</f>
        <v>-9501.2900000000009</v>
      </c>
      <c r="F7" s="279">
        <f>C7+D7-E7</f>
        <v>239298.72999999998</v>
      </c>
      <c r="G7" s="280"/>
      <c r="H7" s="281"/>
      <c r="I7" s="492"/>
    </row>
    <row r="8" spans="1:18" x14ac:dyDescent="0.2">
      <c r="A8" s="282"/>
      <c r="B8" s="283" t="s">
        <v>62</v>
      </c>
      <c r="C8" s="277">
        <f>'September 2022'!F8</f>
        <v>-12892.79</v>
      </c>
      <c r="D8" s="284"/>
      <c r="E8" s="284">
        <v>3052.3</v>
      </c>
      <c r="F8" s="286">
        <f t="shared" ref="F8:F15" si="0">C8+D8-E8</f>
        <v>-15945.09</v>
      </c>
      <c r="G8" s="280"/>
      <c r="H8" s="273"/>
      <c r="I8" s="287"/>
    </row>
    <row r="9" spans="1:18" hidden="1" x14ac:dyDescent="0.2">
      <c r="A9" s="282"/>
      <c r="B9" s="288" t="s">
        <v>67</v>
      </c>
      <c r="C9" s="277">
        <f>'September 2022'!F9</f>
        <v>0</v>
      </c>
      <c r="D9" s="284"/>
      <c r="E9" s="284"/>
      <c r="F9" s="279">
        <f t="shared" si="0"/>
        <v>0</v>
      </c>
      <c r="G9" s="280"/>
      <c r="H9" s="273"/>
      <c r="I9" s="289"/>
      <c r="J9" s="492"/>
    </row>
    <row r="10" spans="1:18" hidden="1" x14ac:dyDescent="0.2">
      <c r="A10" s="282"/>
      <c r="B10" s="288" t="s">
        <v>41</v>
      </c>
      <c r="C10" s="277">
        <f>'September 2022'!F10</f>
        <v>-1.0000000002037268E-2</v>
      </c>
      <c r="D10" s="290"/>
      <c r="E10" s="290"/>
      <c r="F10" s="286">
        <f t="shared" si="0"/>
        <v>-1.0000000002037268E-2</v>
      </c>
      <c r="G10" s="280"/>
      <c r="H10" s="273"/>
      <c r="I10" s="291"/>
      <c r="J10" s="492"/>
    </row>
    <row r="11" spans="1:18" x14ac:dyDescent="0.2">
      <c r="A11" s="282"/>
      <c r="B11" s="288" t="s">
        <v>117</v>
      </c>
      <c r="C11" s="277">
        <f>'September 2022'!F11</f>
        <v>500</v>
      </c>
      <c r="D11" s="292"/>
      <c r="E11" s="292"/>
      <c r="F11" s="279">
        <f t="shared" si="0"/>
        <v>500</v>
      </c>
      <c r="G11" s="280"/>
      <c r="H11" s="273"/>
      <c r="I11" s="293"/>
    </row>
    <row r="12" spans="1:18" x14ac:dyDescent="0.2">
      <c r="A12" s="282"/>
      <c r="B12" s="288" t="s">
        <v>20</v>
      </c>
      <c r="C12" s="277">
        <f>'September 2022'!F12</f>
        <v>3015.110000000001</v>
      </c>
      <c r="D12" s="294">
        <f>101.04+21.52</f>
        <v>122.56</v>
      </c>
      <c r="E12" s="294">
        <v>46.28</v>
      </c>
      <c r="F12" s="295">
        <f>C12+D12-E12</f>
        <v>3091.3900000000008</v>
      </c>
      <c r="G12" s="280"/>
      <c r="H12" s="273"/>
      <c r="I12" s="492"/>
    </row>
    <row r="13" spans="1:18" x14ac:dyDescent="0.2">
      <c r="A13" s="282"/>
      <c r="B13" s="288" t="s">
        <v>22</v>
      </c>
      <c r="C13" s="277">
        <f>'September 2022'!F13</f>
        <v>21.579999999999874</v>
      </c>
      <c r="D13" s="294">
        <v>8.44</v>
      </c>
      <c r="E13" s="294">
        <v>26</v>
      </c>
      <c r="F13" s="295">
        <f>C13+D13-E13</f>
        <v>4.0199999999998752</v>
      </c>
      <c r="G13" s="280"/>
      <c r="H13" s="273"/>
      <c r="I13" s="492"/>
    </row>
    <row r="14" spans="1:18" x14ac:dyDescent="0.2">
      <c r="A14" s="282"/>
      <c r="B14" s="288" t="s">
        <v>28</v>
      </c>
      <c r="C14" s="277">
        <f>'September 2022'!F14</f>
        <v>-576.47000000000116</v>
      </c>
      <c r="D14" s="294"/>
      <c r="E14" s="294">
        <v>216.04</v>
      </c>
      <c r="F14" s="286">
        <f t="shared" si="0"/>
        <v>-792.51000000000113</v>
      </c>
      <c r="G14" s="280"/>
      <c r="H14" s="273"/>
      <c r="I14" s="492"/>
    </row>
    <row r="15" spans="1:18" x14ac:dyDescent="0.2">
      <c r="A15" s="282"/>
      <c r="B15" s="296" t="s">
        <v>42</v>
      </c>
      <c r="C15" s="277">
        <f>'September 2022'!F15</f>
        <v>866.25</v>
      </c>
      <c r="D15" s="284"/>
      <c r="E15" s="284">
        <v>685.53</v>
      </c>
      <c r="F15" s="297">
        <f t="shared" si="0"/>
        <v>180.72000000000003</v>
      </c>
      <c r="G15" s="280"/>
      <c r="H15" s="273"/>
      <c r="I15" s="492"/>
    </row>
    <row r="16" spans="1:18" x14ac:dyDescent="0.2">
      <c r="A16" s="282"/>
      <c r="B16" s="296" t="s">
        <v>43</v>
      </c>
      <c r="C16" s="277">
        <f>'September 2022'!F16</f>
        <v>-688.88000000000034</v>
      </c>
      <c r="D16" s="284"/>
      <c r="E16" s="284"/>
      <c r="F16" s="295">
        <f>C16+D16-E16</f>
        <v>-688.88000000000034</v>
      </c>
      <c r="G16" s="280"/>
      <c r="H16" s="273"/>
      <c r="I16" s="273"/>
      <c r="P16" s="492"/>
    </row>
    <row r="17" spans="1:16" ht="15" x14ac:dyDescent="0.25">
      <c r="A17" s="805" t="s">
        <v>53</v>
      </c>
      <c r="B17" s="806"/>
      <c r="C17" s="298">
        <f>SUM(C18:C22)</f>
        <v>-12259.020000000004</v>
      </c>
      <c r="D17" s="299">
        <f>SUM(D18:D22)</f>
        <v>0</v>
      </c>
      <c r="E17" s="299">
        <f>SUM(E18:E22)</f>
        <v>5265.62</v>
      </c>
      <c r="F17" s="286">
        <f>SUM(F18:F22)</f>
        <v>-17524.640000000003</v>
      </c>
      <c r="G17" s="300"/>
      <c r="H17" s="273"/>
      <c r="I17" s="273"/>
      <c r="P17" s="492"/>
    </row>
    <row r="18" spans="1:16" x14ac:dyDescent="0.2">
      <c r="A18" s="301"/>
      <c r="B18" s="302" t="s">
        <v>9</v>
      </c>
      <c r="C18" s="303">
        <f>'September 2022'!F18</f>
        <v>3963.6199999999981</v>
      </c>
      <c r="D18" s="304"/>
      <c r="E18" s="305">
        <v>3700.71</v>
      </c>
      <c r="F18" s="306">
        <f>C18+D18-E18</f>
        <v>262.90999999999804</v>
      </c>
      <c r="G18" s="284"/>
      <c r="H18" s="273"/>
      <c r="I18" s="492"/>
      <c r="J18" s="79"/>
    </row>
    <row r="19" spans="1:16" x14ac:dyDescent="0.2">
      <c r="A19" s="282"/>
      <c r="B19" s="307" t="s">
        <v>8</v>
      </c>
      <c r="C19" s="303">
        <f>'September 2022'!F19</f>
        <v>-9742.7100000000009</v>
      </c>
      <c r="D19" s="294"/>
      <c r="E19" s="290">
        <f>1122.47+31.25</f>
        <v>1153.72</v>
      </c>
      <c r="F19" s="306">
        <f>C19+D19-E19</f>
        <v>-10896.43</v>
      </c>
      <c r="G19" s="308"/>
      <c r="H19" s="273"/>
      <c r="I19" s="492"/>
    </row>
    <row r="20" spans="1:16" x14ac:dyDescent="0.2">
      <c r="A20" s="282"/>
      <c r="B20" s="307" t="s">
        <v>32</v>
      </c>
      <c r="C20" s="303">
        <f>'September 2022'!F20</f>
        <v>2496.9099999999994</v>
      </c>
      <c r="D20" s="294"/>
      <c r="E20" s="290">
        <v>411.19</v>
      </c>
      <c r="F20" s="306">
        <f t="shared" ref="F20:F22" si="1">C20+D20-E20</f>
        <v>2085.7199999999993</v>
      </c>
      <c r="G20" s="309"/>
      <c r="H20" s="273"/>
      <c r="I20" s="492"/>
    </row>
    <row r="21" spans="1:16" hidden="1" x14ac:dyDescent="0.2">
      <c r="A21" s="282"/>
      <c r="B21" s="307" t="s">
        <v>67</v>
      </c>
      <c r="C21" s="303">
        <f>'September 2022'!F21</f>
        <v>-9.0951551845463996E-15</v>
      </c>
      <c r="D21" s="294"/>
      <c r="E21" s="294"/>
      <c r="F21" s="306">
        <f t="shared" si="1"/>
        <v>-9.0951551845463996E-15</v>
      </c>
      <c r="G21" s="309"/>
      <c r="H21" s="273"/>
      <c r="I21" s="492"/>
    </row>
    <row r="22" spans="1:16" x14ac:dyDescent="0.2">
      <c r="A22" s="310"/>
      <c r="B22" s="311" t="s">
        <v>38</v>
      </c>
      <c r="C22" s="303">
        <f>'September 2022'!F22</f>
        <v>-8976.84</v>
      </c>
      <c r="D22" s="312"/>
      <c r="E22" s="305"/>
      <c r="F22" s="306">
        <f t="shared" si="1"/>
        <v>-8976.84</v>
      </c>
      <c r="G22" s="284">
        <v>8500</v>
      </c>
      <c r="H22" s="273"/>
      <c r="I22" s="492"/>
      <c r="J22" s="79"/>
    </row>
    <row r="23" spans="1:16" x14ac:dyDescent="0.2">
      <c r="A23" s="807" t="s">
        <v>10</v>
      </c>
      <c r="B23" s="808"/>
      <c r="C23" s="298">
        <f>SUM(C24:C33)</f>
        <v>203775.5</v>
      </c>
      <c r="D23" s="313">
        <f>SUM(D24:D33)</f>
        <v>450</v>
      </c>
      <c r="E23" s="314">
        <f>SUM(E24:E33)</f>
        <v>15847.43</v>
      </c>
      <c r="F23" s="314">
        <f>SUM(F24:F33)-0.08</f>
        <v>188377.99000000002</v>
      </c>
      <c r="G23" s="315">
        <f>SUM(G33:G37)</f>
        <v>87000</v>
      </c>
      <c r="H23" s="273"/>
      <c r="I23" s="273"/>
      <c r="P23" s="492"/>
    </row>
    <row r="24" spans="1:16" hidden="1" x14ac:dyDescent="0.2">
      <c r="A24" s="301"/>
      <c r="B24" s="316" t="s">
        <v>55</v>
      </c>
      <c r="C24" s="303">
        <f>'February 2021'!G24</f>
        <v>0</v>
      </c>
      <c r="D24" s="317"/>
      <c r="E24" s="304"/>
      <c r="F24" s="318">
        <f>C24+D24-E24</f>
        <v>0</v>
      </c>
      <c r="G24" s="278"/>
      <c r="H24" s="273"/>
      <c r="I24" s="492"/>
      <c r="J24" s="319"/>
    </row>
    <row r="25" spans="1:16" hidden="1" x14ac:dyDescent="0.2">
      <c r="A25" s="310"/>
      <c r="B25" s="296" t="s">
        <v>70</v>
      </c>
      <c r="C25" s="303">
        <f>'January 2022'!F25</f>
        <v>7.9999999998108251E-2</v>
      </c>
      <c r="D25" s="312"/>
      <c r="E25" s="312"/>
      <c r="F25" s="318">
        <f>C25+D25-E25</f>
        <v>7.9999999998108251E-2</v>
      </c>
      <c r="G25" s="284"/>
      <c r="H25" s="273"/>
      <c r="I25" s="492"/>
      <c r="J25" s="319"/>
    </row>
    <row r="26" spans="1:16" x14ac:dyDescent="0.2">
      <c r="A26" s="275"/>
      <c r="B26" s="320" t="s">
        <v>105</v>
      </c>
      <c r="C26" s="303">
        <f>'September 2022'!F26</f>
        <v>9876.3100000000068</v>
      </c>
      <c r="D26" s="305"/>
      <c r="E26" s="321"/>
      <c r="F26" s="318">
        <f t="shared" ref="F26:F31" si="2">C26+D26-E26</f>
        <v>9876.3100000000068</v>
      </c>
      <c r="G26" s="284"/>
      <c r="H26" s="273"/>
      <c r="I26" s="492"/>
      <c r="J26" s="492"/>
    </row>
    <row r="27" spans="1:16" hidden="1" x14ac:dyDescent="0.2">
      <c r="A27" s="275"/>
      <c r="B27" s="320" t="s">
        <v>39</v>
      </c>
      <c r="C27" s="303">
        <f>'September 2022'!F27</f>
        <v>8.1854523159563541E-12</v>
      </c>
      <c r="D27" s="312"/>
      <c r="E27" s="305"/>
      <c r="F27" s="318">
        <f t="shared" si="2"/>
        <v>8.1854523159563541E-12</v>
      </c>
      <c r="G27" s="284"/>
      <c r="H27" s="273"/>
      <c r="I27" s="492"/>
      <c r="J27" s="492"/>
    </row>
    <row r="28" spans="1:16" x14ac:dyDescent="0.2">
      <c r="A28" s="275"/>
      <c r="B28" s="320" t="s">
        <v>115</v>
      </c>
      <c r="C28" s="303">
        <f>'September 2022'!F28</f>
        <v>18710</v>
      </c>
      <c r="D28" s="312"/>
      <c r="E28" s="312"/>
      <c r="F28" s="318">
        <f t="shared" si="2"/>
        <v>18710</v>
      </c>
      <c r="G28" s="284"/>
      <c r="H28" s="273"/>
      <c r="I28" s="492"/>
      <c r="J28" s="492"/>
    </row>
    <row r="29" spans="1:16" x14ac:dyDescent="0.2">
      <c r="A29" s="275"/>
      <c r="B29" s="320" t="s">
        <v>86</v>
      </c>
      <c r="C29" s="303">
        <f>'September 2022'!F29</f>
        <v>58549.279999999999</v>
      </c>
      <c r="D29" s="312"/>
      <c r="E29" s="312">
        <v>13042.67</v>
      </c>
      <c r="F29" s="318">
        <f t="shared" si="2"/>
        <v>45506.61</v>
      </c>
      <c r="G29" s="284"/>
      <c r="H29" s="273"/>
      <c r="I29" s="492"/>
      <c r="J29" s="492"/>
    </row>
    <row r="30" spans="1:16" x14ac:dyDescent="0.2">
      <c r="A30" s="275"/>
      <c r="B30" s="320" t="s">
        <v>101</v>
      </c>
      <c r="C30" s="303">
        <f>'September 2022'!F30</f>
        <v>124406</v>
      </c>
      <c r="D30" s="312"/>
      <c r="E30" s="312"/>
      <c r="F30" s="318">
        <f t="shared" si="2"/>
        <v>124406</v>
      </c>
      <c r="G30" s="284"/>
      <c r="H30" s="273"/>
      <c r="I30" s="492"/>
      <c r="J30" s="492"/>
    </row>
    <row r="31" spans="1:16" x14ac:dyDescent="0.2">
      <c r="A31" s="275"/>
      <c r="B31" s="320" t="s">
        <v>119</v>
      </c>
      <c r="C31" s="303">
        <f>'September 2022'!F31</f>
        <v>0</v>
      </c>
      <c r="D31" s="312"/>
      <c r="E31" s="312"/>
      <c r="F31" s="318">
        <f t="shared" si="2"/>
        <v>0</v>
      </c>
      <c r="G31" s="284">
        <v>118184</v>
      </c>
      <c r="H31" s="273"/>
      <c r="I31" s="492"/>
      <c r="J31" s="492"/>
    </row>
    <row r="32" spans="1:16" x14ac:dyDescent="0.2">
      <c r="A32" s="275"/>
      <c r="B32" s="296" t="s">
        <v>44</v>
      </c>
      <c r="C32" s="303">
        <f>'September 2022'!F32</f>
        <v>-4618.16</v>
      </c>
      <c r="D32" s="312">
        <v>450</v>
      </c>
      <c r="E32" s="305">
        <v>1970.12</v>
      </c>
      <c r="F32" s="318">
        <f>C32+D32-E32</f>
        <v>-6138.28</v>
      </c>
      <c r="G32" s="284"/>
      <c r="H32" s="273"/>
      <c r="I32" s="492"/>
      <c r="J32" s="492"/>
    </row>
    <row r="33" spans="1:16" x14ac:dyDescent="0.2">
      <c r="A33" s="310"/>
      <c r="B33" s="491" t="s">
        <v>111</v>
      </c>
      <c r="C33" s="303">
        <f>'September 2022'!F33</f>
        <v>-3148.0099999999998</v>
      </c>
      <c r="D33" s="468"/>
      <c r="E33" s="491">
        <v>834.64</v>
      </c>
      <c r="F33" s="324">
        <f>C33+D33-E33</f>
        <v>-3982.6499999999996</v>
      </c>
      <c r="G33" s="284"/>
      <c r="H33" s="273"/>
      <c r="I33" s="492"/>
      <c r="J33" s="319"/>
    </row>
    <row r="34" spans="1:16" x14ac:dyDescent="0.2">
      <c r="A34" s="809" t="s">
        <v>35</v>
      </c>
      <c r="B34" s="810"/>
      <c r="C34" s="298">
        <f>SUM(C35:C38)</f>
        <v>81223.44</v>
      </c>
      <c r="D34" s="313">
        <f>SUM(D35:D38)</f>
        <v>0</v>
      </c>
      <c r="E34" s="314">
        <f>SUM(E35:E37)</f>
        <v>1106.1500000000001</v>
      </c>
      <c r="F34" s="314">
        <f>SUM(F35:F38)</f>
        <v>80117.290000000008</v>
      </c>
      <c r="G34" s="315">
        <f>SUM(G35:G37)</f>
        <v>43500</v>
      </c>
      <c r="H34" s="273"/>
      <c r="I34" s="273"/>
      <c r="P34" s="492"/>
    </row>
    <row r="35" spans="1:16" x14ac:dyDescent="0.2">
      <c r="A35" s="310"/>
      <c r="B35" s="296" t="s">
        <v>114</v>
      </c>
      <c r="C35" s="303">
        <f>'September 2022'!F35</f>
        <v>33160.080000000002</v>
      </c>
      <c r="D35" s="322"/>
      <c r="E35" s="323">
        <v>221.41</v>
      </c>
      <c r="F35" s="324">
        <f>C35+D35-E35</f>
        <v>32938.67</v>
      </c>
      <c r="G35" s="284"/>
      <c r="H35" s="273"/>
      <c r="I35" s="492"/>
      <c r="J35" s="319"/>
    </row>
    <row r="36" spans="1:16" x14ac:dyDescent="0.2">
      <c r="A36" s="310"/>
      <c r="B36" s="296" t="s">
        <v>90</v>
      </c>
      <c r="C36" s="303">
        <f>'September 2022'!F36</f>
        <v>22565.500000000007</v>
      </c>
      <c r="D36" s="322"/>
      <c r="E36" s="323">
        <f>831.65+21.46</f>
        <v>853.11</v>
      </c>
      <c r="F36" s="324">
        <f t="shared" ref="F36" si="3">C36+D36-E36</f>
        <v>21712.390000000007</v>
      </c>
      <c r="G36" s="284">
        <v>35000</v>
      </c>
      <c r="H36" s="273"/>
      <c r="I36" s="492"/>
      <c r="J36" s="319"/>
    </row>
    <row r="37" spans="1:16" x14ac:dyDescent="0.2">
      <c r="A37" s="310"/>
      <c r="B37" s="325" t="s">
        <v>120</v>
      </c>
      <c r="C37" s="303">
        <f>'September 2022'!F37</f>
        <v>14947.859999999997</v>
      </c>
      <c r="D37" s="322"/>
      <c r="E37" s="305">
        <v>31.63</v>
      </c>
      <c r="F37" s="324">
        <f>C37+D37-E37</f>
        <v>14916.229999999998</v>
      </c>
      <c r="G37" s="284">
        <v>8500</v>
      </c>
      <c r="H37" s="273"/>
      <c r="I37" s="293"/>
      <c r="J37" s="266"/>
      <c r="P37" s="326"/>
    </row>
    <row r="38" spans="1:16" ht="12" thickBot="1" x14ac:dyDescent="0.25">
      <c r="B38" s="491" t="s">
        <v>99</v>
      </c>
      <c r="C38" s="303">
        <f>'September 2022'!F38</f>
        <v>10550</v>
      </c>
      <c r="D38" s="464"/>
      <c r="F38" s="324">
        <f>C38+D38-E38</f>
        <v>10550</v>
      </c>
    </row>
    <row r="39" spans="1:16" ht="12" thickBot="1" x14ac:dyDescent="0.25">
      <c r="A39" s="794" t="s">
        <v>11</v>
      </c>
      <c r="B39" s="795"/>
      <c r="C39" s="466">
        <f>C34+C23+C17+C6+369.29</f>
        <v>492966.5199999999</v>
      </c>
      <c r="D39" s="465">
        <f>SUM(D23,D17,D6,D34)</f>
        <v>765.92000000000007</v>
      </c>
      <c r="E39" s="328">
        <f>SUM(E23,E17,E6,E34)</f>
        <v>16744.059999999998</v>
      </c>
      <c r="F39" s="329">
        <f>SUM(F23,F17,F6,F34)+369.29</f>
        <v>476988.3</v>
      </c>
      <c r="G39" s="330">
        <f>SUM(G6,G16,G23,G34)</f>
        <v>130500</v>
      </c>
      <c r="H39" s="492"/>
      <c r="I39" s="492"/>
      <c r="J39" s="331"/>
    </row>
    <row r="40" spans="1:16" hidden="1" x14ac:dyDescent="0.2">
      <c r="A40" s="489"/>
      <c r="B40" s="490"/>
      <c r="C40" s="492">
        <f>SUM(C17:C22)</f>
        <v>-24518.040000000008</v>
      </c>
      <c r="D40" s="492"/>
      <c r="E40" s="492"/>
      <c r="F40" s="492"/>
      <c r="G40" s="334"/>
      <c r="H40" s="492"/>
      <c r="K40" s="491" t="s">
        <v>12</v>
      </c>
      <c r="L40" s="491">
        <v>42.43</v>
      </c>
    </row>
    <row r="41" spans="1:16" ht="12" hidden="1" thickBot="1" x14ac:dyDescent="0.25">
      <c r="A41" s="335" t="s">
        <v>25</v>
      </c>
      <c r="B41" s="336"/>
      <c r="C41" s="337" t="e">
        <f>SUM(C39,#REF!)</f>
        <v>#REF!</v>
      </c>
      <c r="D41" s="338" t="e">
        <f>SUM(D39,#REF!)</f>
        <v>#REF!</v>
      </c>
      <c r="E41" s="338" t="e">
        <f>SUM(E39,#REF!)</f>
        <v>#REF!</v>
      </c>
      <c r="F41" s="339" t="e">
        <f>SUM(F39,#REF!)</f>
        <v>#REF!</v>
      </c>
      <c r="G41" s="334"/>
      <c r="H41" s="492"/>
      <c r="I41" s="331"/>
      <c r="J41" s="79">
        <v>206730.35</v>
      </c>
    </row>
    <row r="42" spans="1:16" ht="12" thickBot="1" x14ac:dyDescent="0.25">
      <c r="B42" s="340"/>
      <c r="C42" s="492"/>
      <c r="D42" s="492"/>
      <c r="E42" s="492"/>
      <c r="F42" s="492"/>
      <c r="G42" s="334"/>
      <c r="H42" s="341"/>
      <c r="I42" s="331"/>
      <c r="J42" s="79"/>
      <c r="P42" s="492"/>
    </row>
    <row r="43" spans="1:16" ht="12" thickBot="1" x14ac:dyDescent="0.25">
      <c r="A43" s="796" t="s">
        <v>13</v>
      </c>
      <c r="B43" s="797"/>
      <c r="C43" s="342" t="s">
        <v>2</v>
      </c>
      <c r="D43" s="342" t="s">
        <v>3</v>
      </c>
      <c r="E43" s="342" t="s">
        <v>27</v>
      </c>
      <c r="F43" s="342" t="s">
        <v>5</v>
      </c>
      <c r="G43" s="269"/>
      <c r="H43" s="331"/>
      <c r="I43" s="343"/>
    </row>
    <row r="44" spans="1:16" ht="12" thickBot="1" x14ac:dyDescent="0.25">
      <c r="A44" s="784" t="s">
        <v>14</v>
      </c>
      <c r="B44" s="785"/>
      <c r="C44" s="344">
        <f>'September 2022'!F44</f>
        <v>161.53</v>
      </c>
      <c r="D44" s="345">
        <v>131</v>
      </c>
      <c r="E44" s="345">
        <v>37.54</v>
      </c>
      <c r="F44" s="346">
        <f>C44+D44-E44</f>
        <v>254.98999999999998</v>
      </c>
      <c r="G44" s="492"/>
      <c r="I44" s="331"/>
      <c r="J44" s="79"/>
    </row>
    <row r="45" spans="1:16" ht="12" thickBot="1" x14ac:dyDescent="0.25">
      <c r="A45" s="798" t="s">
        <v>15</v>
      </c>
      <c r="B45" s="799"/>
      <c r="C45" s="344">
        <f>'September 2022'!F45</f>
        <v>14402.620000000014</v>
      </c>
      <c r="D45" s="347">
        <v>23000</v>
      </c>
      <c r="E45" s="347">
        <v>15934.3</v>
      </c>
      <c r="F45" s="346">
        <f>C45+D45-E45</f>
        <v>21468.320000000011</v>
      </c>
      <c r="G45" s="492"/>
      <c r="H45" s="349"/>
      <c r="I45" s="331"/>
    </row>
    <row r="46" spans="1:16" ht="12" thickBot="1" x14ac:dyDescent="0.25">
      <c r="A46" s="350"/>
      <c r="B46" s="351" t="s">
        <v>21</v>
      </c>
      <c r="C46" s="344">
        <f>'September 2022'!F46</f>
        <v>0</v>
      </c>
      <c r="D46" s="352"/>
      <c r="E46" s="352"/>
      <c r="F46" s="346">
        <f t="shared" ref="F46:F48" si="4">C46+D46-E46</f>
        <v>0</v>
      </c>
      <c r="G46" s="492"/>
      <c r="H46" s="349"/>
      <c r="I46" s="79"/>
    </row>
    <row r="47" spans="1:16" ht="12" thickBot="1" x14ac:dyDescent="0.25">
      <c r="A47" s="350"/>
      <c r="B47" s="351" t="s">
        <v>40</v>
      </c>
      <c r="C47" s="344">
        <f>'September 2022'!F47</f>
        <v>-2992.2800000000011</v>
      </c>
      <c r="D47" s="353">
        <v>2490.7600000000002</v>
      </c>
      <c r="E47" s="353">
        <v>2186.0500000000002</v>
      </c>
      <c r="F47" s="346">
        <f>C47+D47-E47</f>
        <v>-2687.5700000000011</v>
      </c>
      <c r="G47" s="492"/>
      <c r="H47" s="79"/>
      <c r="I47" s="79"/>
    </row>
    <row r="48" spans="1:16" ht="12" thickBot="1" x14ac:dyDescent="0.25">
      <c r="A48" s="784" t="s">
        <v>16</v>
      </c>
      <c r="B48" s="785"/>
      <c r="C48" s="344">
        <f>'September 2022'!F48</f>
        <v>252148.43000000011</v>
      </c>
      <c r="D48" s="355">
        <v>511.62</v>
      </c>
      <c r="E48" s="355">
        <v>23000</v>
      </c>
      <c r="F48" s="346">
        <f t="shared" si="4"/>
        <v>229660.0500000001</v>
      </c>
      <c r="G48" s="492"/>
      <c r="H48" s="79"/>
      <c r="I48" s="79"/>
    </row>
    <row r="49" spans="1:16" ht="12" thickBot="1" x14ac:dyDescent="0.25">
      <c r="A49" s="357" t="s">
        <v>46</v>
      </c>
      <c r="B49" s="358"/>
      <c r="C49" s="344">
        <f>'September 2022'!F49</f>
        <v>229924.02999999991</v>
      </c>
      <c r="D49" s="322">
        <v>123.3</v>
      </c>
      <c r="E49" s="322">
        <f>1000+49.52+27.41</f>
        <v>1076.93</v>
      </c>
      <c r="F49" s="346">
        <f>C49+D49-E49</f>
        <v>228970.39999999991</v>
      </c>
      <c r="G49" s="492"/>
      <c r="H49" s="79"/>
      <c r="I49" s="79"/>
    </row>
    <row r="50" spans="1:16" ht="12" thickBot="1" x14ac:dyDescent="0.25">
      <c r="A50" s="800"/>
      <c r="B50" s="795"/>
      <c r="C50" s="360">
        <f>SUM(C44+C45+C48+C49+C47+C46)</f>
        <v>493644.33</v>
      </c>
      <c r="D50" s="361">
        <f>SUM(D44:D49)</f>
        <v>26256.68</v>
      </c>
      <c r="E50" s="361">
        <f>SUM(E44:E49)</f>
        <v>42234.82</v>
      </c>
      <c r="F50" s="346">
        <f>C50+D50-E50+0.04</f>
        <v>477666.23</v>
      </c>
      <c r="G50" s="492"/>
      <c r="H50" s="331"/>
      <c r="I50" s="79"/>
      <c r="J50" s="266"/>
    </row>
    <row r="51" spans="1:16" x14ac:dyDescent="0.2">
      <c r="A51" s="489"/>
      <c r="B51" s="490"/>
      <c r="C51" s="492">
        <f>C39-C50</f>
        <v>-677.81000000011409</v>
      </c>
      <c r="D51" s="492"/>
      <c r="E51" s="492"/>
      <c r="F51" s="492">
        <f>F39-F50</f>
        <v>-677.92999999999302</v>
      </c>
      <c r="H51" s="492"/>
      <c r="I51" s="331"/>
      <c r="J51" s="331"/>
      <c r="K51" s="266"/>
    </row>
    <row r="52" spans="1:16" x14ac:dyDescent="0.2">
      <c r="B52" s="340"/>
      <c r="C52" s="492"/>
      <c r="D52" s="492"/>
      <c r="E52" s="492"/>
      <c r="F52" s="492"/>
      <c r="G52" s="492"/>
      <c r="H52" s="492"/>
      <c r="I52" s="331"/>
    </row>
    <row r="53" spans="1:16" x14ac:dyDescent="0.2">
      <c r="A53" s="801" t="s">
        <v>17</v>
      </c>
      <c r="B53" s="801"/>
      <c r="C53" s="801"/>
      <c r="D53" s="801"/>
      <c r="E53" s="802" t="s">
        <v>18</v>
      </c>
      <c r="F53" s="802"/>
      <c r="G53" s="492"/>
      <c r="H53" s="492"/>
      <c r="J53" s="331"/>
    </row>
    <row r="54" spans="1:16" x14ac:dyDescent="0.2">
      <c r="C54" s="492"/>
      <c r="D54" s="492"/>
      <c r="E54" s="492"/>
      <c r="F54" s="492"/>
      <c r="G54" s="492"/>
      <c r="H54" s="492"/>
    </row>
    <row r="55" spans="1:16" x14ac:dyDescent="0.2">
      <c r="A55" s="801" t="s">
        <v>19</v>
      </c>
      <c r="B55" s="801"/>
      <c r="C55" s="801"/>
      <c r="D55" s="801"/>
      <c r="E55" s="802" t="s">
        <v>18</v>
      </c>
      <c r="F55" s="802"/>
      <c r="G55" s="492"/>
      <c r="H55" s="492"/>
    </row>
    <row r="56" spans="1:16" x14ac:dyDescent="0.2">
      <c r="A56" s="489"/>
      <c r="B56" s="490"/>
      <c r="C56" s="266"/>
      <c r="D56" s="266"/>
      <c r="E56" s="266"/>
      <c r="F56" s="79"/>
      <c r="G56" s="266"/>
      <c r="H56" s="266"/>
      <c r="I56" s="331"/>
      <c r="J56" s="79"/>
      <c r="P56" s="364"/>
    </row>
    <row r="57" spans="1:16" x14ac:dyDescent="0.2">
      <c r="B57" s="340"/>
      <c r="C57" s="331"/>
      <c r="D57" s="331"/>
      <c r="E57" s="331"/>
      <c r="F57" s="331"/>
      <c r="I57" s="331"/>
      <c r="J57" s="343"/>
      <c r="L57" s="266"/>
      <c r="P57" s="364"/>
    </row>
    <row r="58" spans="1:16" x14ac:dyDescent="0.2">
      <c r="B58" s="340"/>
      <c r="C58" s="79"/>
      <c r="D58" s="331"/>
      <c r="F58" s="331"/>
      <c r="J58" s="331"/>
    </row>
  </sheetData>
  <mergeCells count="17">
    <mergeCell ref="A48:B48"/>
    <mergeCell ref="A2:G2"/>
    <mergeCell ref="A3:G3"/>
    <mergeCell ref="A5:B5"/>
    <mergeCell ref="A6:B6"/>
    <mergeCell ref="A17:B17"/>
    <mergeCell ref="A23:B23"/>
    <mergeCell ref="A34:B34"/>
    <mergeCell ref="A39:B39"/>
    <mergeCell ref="A43:B43"/>
    <mergeCell ref="A44:B44"/>
    <mergeCell ref="A45:B45"/>
    <mergeCell ref="A50:B50"/>
    <mergeCell ref="A53:D53"/>
    <mergeCell ref="E53:F53"/>
    <mergeCell ref="A55:D55"/>
    <mergeCell ref="E55:F55"/>
  </mergeCells>
  <pageMargins left="0.7" right="0.7" top="0.75" bottom="0.75" header="0.3" footer="0.3"/>
  <legacy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27A20-395F-4441-A517-CE565D9CE4C2}">
  <dimension ref="A1:R58"/>
  <sheetViews>
    <sheetView topLeftCell="A17" zoomScale="120" zoomScaleNormal="120" workbookViewId="0">
      <selection activeCell="I42" sqref="I42"/>
    </sheetView>
  </sheetViews>
  <sheetFormatPr defaultColWidth="9.140625" defaultRowHeight="11.25" x14ac:dyDescent="0.2"/>
  <cols>
    <col min="1" max="1" width="10.7109375" style="497" customWidth="1"/>
    <col min="2" max="2" width="28.140625" style="497" customWidth="1"/>
    <col min="3" max="3" width="10.5703125" style="497" customWidth="1"/>
    <col min="4" max="4" width="9.42578125" style="497" customWidth="1"/>
    <col min="5" max="5" width="9.140625" style="497"/>
    <col min="6" max="6" width="10.28515625" style="497" customWidth="1"/>
    <col min="7" max="7" width="8.85546875" style="497" customWidth="1"/>
    <col min="8" max="8" width="12.140625" style="497" customWidth="1"/>
    <col min="9" max="9" width="14.7109375" style="497" customWidth="1"/>
    <col min="10" max="10" width="14.5703125" style="497" customWidth="1"/>
    <col min="11" max="11" width="11.28515625" style="497" customWidth="1"/>
    <col min="12" max="15" width="9.140625" style="497"/>
    <col min="16" max="16" width="13" style="497" customWidth="1"/>
    <col min="17" max="16384" width="9.140625" style="497"/>
  </cols>
  <sheetData>
    <row r="1" spans="1:18" hidden="1" x14ac:dyDescent="0.2"/>
    <row r="2" spans="1:18" x14ac:dyDescent="0.2">
      <c r="A2" s="786" t="s">
        <v>0</v>
      </c>
      <c r="B2" s="786"/>
      <c r="C2" s="786"/>
      <c r="D2" s="786"/>
      <c r="E2" s="786"/>
      <c r="F2" s="786"/>
      <c r="G2" s="786"/>
      <c r="H2" s="493"/>
    </row>
    <row r="3" spans="1:18" x14ac:dyDescent="0.2">
      <c r="A3" s="787" t="s">
        <v>122</v>
      </c>
      <c r="B3" s="787"/>
      <c r="C3" s="787"/>
      <c r="D3" s="787"/>
      <c r="E3" s="787"/>
      <c r="F3" s="787"/>
      <c r="G3" s="787"/>
      <c r="H3" s="494"/>
    </row>
    <row r="4" spans="1:18" ht="12" thickBot="1" x14ac:dyDescent="0.25">
      <c r="B4" s="265" t="s">
        <v>37</v>
      </c>
      <c r="F4" s="266"/>
      <c r="I4" s="267"/>
    </row>
    <row r="5" spans="1:18" x14ac:dyDescent="0.2">
      <c r="A5" s="788" t="s">
        <v>1</v>
      </c>
      <c r="B5" s="789"/>
      <c r="C5" s="268" t="s">
        <v>2</v>
      </c>
      <c r="D5" s="268" t="s">
        <v>3</v>
      </c>
      <c r="E5" s="268" t="s">
        <v>58</v>
      </c>
      <c r="F5" s="268" t="s">
        <v>5</v>
      </c>
      <c r="G5" s="268" t="s">
        <v>6</v>
      </c>
      <c r="H5" s="269"/>
      <c r="I5" s="269"/>
    </row>
    <row r="6" spans="1:18" ht="15" x14ac:dyDescent="0.25">
      <c r="A6" s="803" t="s">
        <v>7</v>
      </c>
      <c r="B6" s="804"/>
      <c r="C6" s="270">
        <f>SUM(C7:C16)</f>
        <v>225648.36999999997</v>
      </c>
      <c r="D6" s="271">
        <f>SUM(D7:D16)</f>
        <v>2689.63</v>
      </c>
      <c r="E6" s="271">
        <f>SUM(E7:E16)</f>
        <v>-5273.1500000000015</v>
      </c>
      <c r="F6" s="271">
        <f>SUM(F7:F16)</f>
        <v>233611.15</v>
      </c>
      <c r="G6" s="272">
        <f>SUM(G7:G15)</f>
        <v>0</v>
      </c>
      <c r="H6" s="273"/>
      <c r="I6" s="273"/>
      <c r="J6" s="273"/>
      <c r="K6" s="498"/>
      <c r="P6" s="498"/>
      <c r="R6" s="498"/>
    </row>
    <row r="7" spans="1:18" ht="12" customHeight="1" x14ac:dyDescent="0.2">
      <c r="A7" s="275"/>
      <c r="B7" s="276" t="s">
        <v>23</v>
      </c>
      <c r="C7" s="277">
        <f>'October 2022'!F7</f>
        <v>239298.72999999998</v>
      </c>
      <c r="D7" s="278">
        <f>185.04+910+1500</f>
        <v>2595.04</v>
      </c>
      <c r="E7" s="430">
        <f>1000+1343.19+4708.94-15798.48</f>
        <v>-8746.35</v>
      </c>
      <c r="F7" s="279">
        <f>C7+D7-E7</f>
        <v>250640.12</v>
      </c>
      <c r="G7" s="280"/>
      <c r="H7" s="281"/>
      <c r="I7" s="498"/>
    </row>
    <row r="8" spans="1:18" x14ac:dyDescent="0.2">
      <c r="A8" s="282"/>
      <c r="B8" s="283" t="s">
        <v>62</v>
      </c>
      <c r="C8" s="277">
        <f>'October 2022'!F8</f>
        <v>-15945.09</v>
      </c>
      <c r="D8" s="284"/>
      <c r="E8" s="284">
        <v>2363.3200000000002</v>
      </c>
      <c r="F8" s="286">
        <f t="shared" ref="F8:F15" si="0">C8+D8-E8</f>
        <v>-18308.41</v>
      </c>
      <c r="G8" s="280"/>
      <c r="H8" s="273"/>
      <c r="I8" s="287"/>
    </row>
    <row r="9" spans="1:18" hidden="1" x14ac:dyDescent="0.2">
      <c r="A9" s="282"/>
      <c r="B9" s="288" t="s">
        <v>67</v>
      </c>
      <c r="C9" s="277">
        <f>'October 2022'!F9</f>
        <v>0</v>
      </c>
      <c r="D9" s="284"/>
      <c r="E9" s="284"/>
      <c r="F9" s="279">
        <f t="shared" si="0"/>
        <v>0</v>
      </c>
      <c r="G9" s="280"/>
      <c r="H9" s="273"/>
      <c r="I9" s="289"/>
      <c r="J9" s="498"/>
    </row>
    <row r="10" spans="1:18" hidden="1" x14ac:dyDescent="0.2">
      <c r="A10" s="282"/>
      <c r="B10" s="288" t="s">
        <v>41</v>
      </c>
      <c r="C10" s="277">
        <f>'October 2022'!F10</f>
        <v>-1.0000000002037268E-2</v>
      </c>
      <c r="D10" s="290"/>
      <c r="E10" s="290"/>
      <c r="F10" s="286">
        <f t="shared" si="0"/>
        <v>-1.0000000002037268E-2</v>
      </c>
      <c r="G10" s="280"/>
      <c r="H10" s="273"/>
      <c r="I10" s="291"/>
      <c r="J10" s="498"/>
    </row>
    <row r="11" spans="1:18" x14ac:dyDescent="0.2">
      <c r="A11" s="282"/>
      <c r="B11" s="288" t="s">
        <v>117</v>
      </c>
      <c r="C11" s="277">
        <f>'October 2022'!F11</f>
        <v>500</v>
      </c>
      <c r="D11" s="292"/>
      <c r="E11" s="292"/>
      <c r="F11" s="279">
        <f t="shared" si="0"/>
        <v>500</v>
      </c>
      <c r="G11" s="280"/>
      <c r="H11" s="273"/>
      <c r="I11" s="293"/>
    </row>
    <row r="12" spans="1:18" x14ac:dyDescent="0.2">
      <c r="A12" s="282"/>
      <c r="B12" s="288" t="s">
        <v>20</v>
      </c>
      <c r="C12" s="277">
        <f>'October 2022'!F12</f>
        <v>3091.3900000000008</v>
      </c>
      <c r="D12" s="294">
        <f>85.32</f>
        <v>85.32</v>
      </c>
      <c r="E12" s="294">
        <f>250+84.68+8.47</f>
        <v>343.15000000000003</v>
      </c>
      <c r="F12" s="295">
        <f>C12+D12-E12</f>
        <v>2833.5600000000009</v>
      </c>
      <c r="G12" s="280"/>
      <c r="H12" s="273"/>
      <c r="I12" s="498"/>
    </row>
    <row r="13" spans="1:18" x14ac:dyDescent="0.2">
      <c r="A13" s="282"/>
      <c r="B13" s="288" t="s">
        <v>22</v>
      </c>
      <c r="C13" s="277">
        <f>'October 2022'!F13</f>
        <v>4.0199999999998752</v>
      </c>
      <c r="D13" s="294">
        <v>9.27</v>
      </c>
      <c r="E13" s="294"/>
      <c r="F13" s="295">
        <f>C13+D13-E13</f>
        <v>13.289999999999875</v>
      </c>
      <c r="G13" s="280"/>
      <c r="H13" s="273"/>
      <c r="I13" s="498"/>
    </row>
    <row r="14" spans="1:18" x14ac:dyDescent="0.2">
      <c r="A14" s="282"/>
      <c r="B14" s="288" t="s">
        <v>28</v>
      </c>
      <c r="C14" s="277">
        <f>'October 2022'!F14</f>
        <v>-792.51000000000113</v>
      </c>
      <c r="D14" s="294"/>
      <c r="E14" s="294">
        <v>722.4</v>
      </c>
      <c r="F14" s="286">
        <f t="shared" si="0"/>
        <v>-1514.9100000000012</v>
      </c>
      <c r="G14" s="280"/>
      <c r="H14" s="273"/>
      <c r="I14" s="498"/>
    </row>
    <row r="15" spans="1:18" x14ac:dyDescent="0.2">
      <c r="A15" s="282"/>
      <c r="B15" s="296" t="s">
        <v>42</v>
      </c>
      <c r="C15" s="277">
        <f>'October 2022'!F15</f>
        <v>180.72000000000003</v>
      </c>
      <c r="D15" s="284"/>
      <c r="E15" s="284"/>
      <c r="F15" s="297">
        <f t="shared" si="0"/>
        <v>180.72000000000003</v>
      </c>
      <c r="G15" s="280"/>
      <c r="H15" s="273"/>
      <c r="I15" s="498"/>
    </row>
    <row r="16" spans="1:18" x14ac:dyDescent="0.2">
      <c r="A16" s="282"/>
      <c r="B16" s="296" t="s">
        <v>43</v>
      </c>
      <c r="C16" s="277">
        <f>'October 2022'!F16</f>
        <v>-688.88000000000034</v>
      </c>
      <c r="D16" s="284"/>
      <c r="E16" s="284">
        <v>44.33</v>
      </c>
      <c r="F16" s="295">
        <f>C16+D16-E16</f>
        <v>-733.21000000000038</v>
      </c>
      <c r="G16" s="280"/>
      <c r="H16" s="273"/>
      <c r="I16" s="273"/>
      <c r="P16" s="498"/>
    </row>
    <row r="17" spans="1:16" ht="15" x14ac:dyDescent="0.25">
      <c r="A17" s="805" t="s">
        <v>53</v>
      </c>
      <c r="B17" s="806"/>
      <c r="C17" s="298">
        <f>SUM(C18:C22)</f>
        <v>-17524.640000000003</v>
      </c>
      <c r="D17" s="299">
        <f>SUM(D18:D22)</f>
        <v>0</v>
      </c>
      <c r="E17" s="299">
        <f>SUM(E18:E22)</f>
        <v>6673.93</v>
      </c>
      <c r="F17" s="286">
        <f>SUM(F18:F22)</f>
        <v>-24198.57</v>
      </c>
      <c r="G17" s="300"/>
      <c r="H17" s="273"/>
      <c r="I17" s="273"/>
      <c r="P17" s="498"/>
    </row>
    <row r="18" spans="1:16" x14ac:dyDescent="0.2">
      <c r="A18" s="301"/>
      <c r="B18" s="302" t="s">
        <v>9</v>
      </c>
      <c r="C18" s="303">
        <f>'October 2022'!F18</f>
        <v>262.90999999999804</v>
      </c>
      <c r="D18" s="304"/>
      <c r="E18" s="305">
        <v>5060.8</v>
      </c>
      <c r="F18" s="306">
        <f>C18+D18-E18</f>
        <v>-4797.8900000000021</v>
      </c>
      <c r="G18" s="284"/>
      <c r="H18" s="273"/>
      <c r="I18" s="498"/>
      <c r="J18" s="79"/>
    </row>
    <row r="19" spans="1:16" x14ac:dyDescent="0.2">
      <c r="A19" s="282"/>
      <c r="B19" s="307" t="s">
        <v>8</v>
      </c>
      <c r="C19" s="303">
        <f>'October 2022'!F19</f>
        <v>-10896.43</v>
      </c>
      <c r="D19" s="294"/>
      <c r="E19" s="290">
        <v>506.08</v>
      </c>
      <c r="F19" s="306">
        <f>C19+D19-E19</f>
        <v>-11402.51</v>
      </c>
      <c r="G19" s="308"/>
      <c r="H19" s="273"/>
      <c r="I19" s="498"/>
    </row>
    <row r="20" spans="1:16" x14ac:dyDescent="0.2">
      <c r="A20" s="282"/>
      <c r="B20" s="307" t="s">
        <v>32</v>
      </c>
      <c r="C20" s="303">
        <f>'October 2022'!F20</f>
        <v>2085.7199999999993</v>
      </c>
      <c r="D20" s="294"/>
      <c r="E20" s="290">
        <v>885.64</v>
      </c>
      <c r="F20" s="306">
        <f t="shared" ref="F20:F22" si="1">C20+D20-E20</f>
        <v>1200.0799999999995</v>
      </c>
      <c r="G20" s="309"/>
      <c r="H20" s="273"/>
      <c r="I20" s="498"/>
    </row>
    <row r="21" spans="1:16" hidden="1" x14ac:dyDescent="0.2">
      <c r="A21" s="282"/>
      <c r="B21" s="307" t="s">
        <v>67</v>
      </c>
      <c r="C21" s="303">
        <f>'October 2022'!F21</f>
        <v>-9.0951551845463996E-15</v>
      </c>
      <c r="D21" s="294"/>
      <c r="E21" s="294"/>
      <c r="F21" s="306">
        <f t="shared" si="1"/>
        <v>-9.0951551845463996E-15</v>
      </c>
      <c r="G21" s="309"/>
      <c r="H21" s="273"/>
      <c r="I21" s="498"/>
    </row>
    <row r="22" spans="1:16" x14ac:dyDescent="0.2">
      <c r="A22" s="310"/>
      <c r="B22" s="311" t="s">
        <v>38</v>
      </c>
      <c r="C22" s="303">
        <f>'October 2022'!F22</f>
        <v>-8976.84</v>
      </c>
      <c r="D22" s="312"/>
      <c r="E22" s="305">
        <v>221.41</v>
      </c>
      <c r="F22" s="306">
        <f t="shared" si="1"/>
        <v>-9198.25</v>
      </c>
      <c r="G22" s="284">
        <v>8500</v>
      </c>
      <c r="H22" s="273"/>
      <c r="I22" s="498"/>
      <c r="J22" s="79"/>
    </row>
    <row r="23" spans="1:16" x14ac:dyDescent="0.2">
      <c r="A23" s="807" t="s">
        <v>10</v>
      </c>
      <c r="B23" s="808"/>
      <c r="C23" s="298">
        <f>SUM(C24:C33)</f>
        <v>188378.07</v>
      </c>
      <c r="D23" s="313">
        <f>SUM(D24:D33)</f>
        <v>0</v>
      </c>
      <c r="E23" s="314">
        <f>SUM(E24:E33)</f>
        <v>23196.83</v>
      </c>
      <c r="F23" s="314">
        <f>SUM(F24:F33)-0.08</f>
        <v>165181.16</v>
      </c>
      <c r="G23" s="315">
        <f>SUM(G33:G37)</f>
        <v>87000</v>
      </c>
      <c r="H23" s="273"/>
      <c r="I23" s="273"/>
      <c r="P23" s="498"/>
    </row>
    <row r="24" spans="1:16" hidden="1" x14ac:dyDescent="0.2">
      <c r="A24" s="301"/>
      <c r="B24" s="316" t="s">
        <v>55</v>
      </c>
      <c r="C24" s="303">
        <f>'February 2021'!G24</f>
        <v>0</v>
      </c>
      <c r="D24" s="317"/>
      <c r="E24" s="304"/>
      <c r="F24" s="318">
        <f>C24+D24-E24</f>
        <v>0</v>
      </c>
      <c r="G24" s="278"/>
      <c r="H24" s="273"/>
      <c r="I24" s="498"/>
      <c r="J24" s="319"/>
    </row>
    <row r="25" spans="1:16" hidden="1" x14ac:dyDescent="0.2">
      <c r="A25" s="310"/>
      <c r="B25" s="296" t="s">
        <v>70</v>
      </c>
      <c r="C25" s="303">
        <f>'January 2022'!F25</f>
        <v>7.9999999998108251E-2</v>
      </c>
      <c r="D25" s="312"/>
      <c r="E25" s="312"/>
      <c r="F25" s="318">
        <f>C25+D25-E25</f>
        <v>7.9999999998108251E-2</v>
      </c>
      <c r="G25" s="284"/>
      <c r="H25" s="273"/>
      <c r="I25" s="498"/>
      <c r="J25" s="319"/>
    </row>
    <row r="26" spans="1:16" x14ac:dyDescent="0.2">
      <c r="A26" s="275"/>
      <c r="B26" s="320" t="s">
        <v>105</v>
      </c>
      <c r="C26" s="303">
        <f>'October 2022'!F26</f>
        <v>9876.3100000000068</v>
      </c>
      <c r="D26" s="305"/>
      <c r="E26" s="321"/>
      <c r="F26" s="318">
        <f t="shared" ref="F26:F31" si="2">C26+D26-E26</f>
        <v>9876.3100000000068</v>
      </c>
      <c r="G26" s="284"/>
      <c r="H26" s="273"/>
      <c r="I26" s="498"/>
      <c r="J26" s="498"/>
    </row>
    <row r="27" spans="1:16" hidden="1" x14ac:dyDescent="0.2">
      <c r="A27" s="275"/>
      <c r="B27" s="320" t="s">
        <v>39</v>
      </c>
      <c r="C27" s="303">
        <f>'October 2022'!F27</f>
        <v>8.1854523159563541E-12</v>
      </c>
      <c r="D27" s="312"/>
      <c r="E27" s="305"/>
      <c r="F27" s="318">
        <f t="shared" si="2"/>
        <v>8.1854523159563541E-12</v>
      </c>
      <c r="G27" s="284"/>
      <c r="H27" s="273"/>
      <c r="I27" s="498"/>
      <c r="J27" s="498"/>
    </row>
    <row r="28" spans="1:16" x14ac:dyDescent="0.2">
      <c r="A28" s="275"/>
      <c r="B28" s="320" t="s">
        <v>115</v>
      </c>
      <c r="C28" s="303">
        <f>'October 2022'!F28</f>
        <v>18710</v>
      </c>
      <c r="D28" s="312"/>
      <c r="E28" s="312"/>
      <c r="F28" s="318">
        <f t="shared" si="2"/>
        <v>18710</v>
      </c>
      <c r="G28" s="284"/>
      <c r="H28" s="273"/>
      <c r="I28" s="498"/>
      <c r="J28" s="498"/>
    </row>
    <row r="29" spans="1:16" x14ac:dyDescent="0.2">
      <c r="A29" s="275"/>
      <c r="B29" s="320" t="s">
        <v>86</v>
      </c>
      <c r="C29" s="303">
        <f>'October 2022'!F29</f>
        <v>45506.61</v>
      </c>
      <c r="D29" s="312"/>
      <c r="E29" s="312">
        <v>21059.24</v>
      </c>
      <c r="F29" s="318">
        <f t="shared" si="2"/>
        <v>24447.37</v>
      </c>
      <c r="G29" s="284"/>
      <c r="H29" s="273"/>
      <c r="I29" s="498"/>
      <c r="J29" s="498"/>
    </row>
    <row r="30" spans="1:16" x14ac:dyDescent="0.2">
      <c r="A30" s="275"/>
      <c r="B30" s="320" t="s">
        <v>101</v>
      </c>
      <c r="C30" s="303">
        <f>'October 2022'!F30</f>
        <v>124406</v>
      </c>
      <c r="D30" s="312"/>
      <c r="E30" s="312"/>
      <c r="F30" s="318">
        <f t="shared" si="2"/>
        <v>124406</v>
      </c>
      <c r="G30" s="284"/>
      <c r="H30" s="273"/>
      <c r="I30" s="498"/>
      <c r="J30" s="498"/>
    </row>
    <row r="31" spans="1:16" x14ac:dyDescent="0.2">
      <c r="A31" s="275"/>
      <c r="B31" s="320" t="s">
        <v>119</v>
      </c>
      <c r="C31" s="303">
        <f>'October 2022'!F31</f>
        <v>0</v>
      </c>
      <c r="D31" s="312"/>
      <c r="E31" s="312"/>
      <c r="F31" s="318">
        <f t="shared" si="2"/>
        <v>0</v>
      </c>
      <c r="G31" s="284">
        <v>118184</v>
      </c>
      <c r="H31" s="273"/>
      <c r="I31" s="498"/>
      <c r="J31" s="498"/>
    </row>
    <row r="32" spans="1:16" x14ac:dyDescent="0.2">
      <c r="A32" s="275"/>
      <c r="B32" s="296" t="s">
        <v>44</v>
      </c>
      <c r="C32" s="303">
        <f>'October 2022'!F32</f>
        <v>-6138.28</v>
      </c>
      <c r="D32" s="312"/>
      <c r="E32" s="305">
        <v>1732.64</v>
      </c>
      <c r="F32" s="318">
        <f>C32+D32-E32</f>
        <v>-7870.92</v>
      </c>
      <c r="G32" s="284"/>
      <c r="H32" s="273"/>
      <c r="I32" s="498"/>
      <c r="J32" s="498"/>
    </row>
    <row r="33" spans="1:16" x14ac:dyDescent="0.2">
      <c r="A33" s="310"/>
      <c r="B33" s="497" t="s">
        <v>111</v>
      </c>
      <c r="C33" s="303">
        <f>'October 2022'!F33</f>
        <v>-3982.6499999999996</v>
      </c>
      <c r="D33" s="468"/>
      <c r="E33" s="497">
        <v>404.95</v>
      </c>
      <c r="F33" s="324">
        <f>C33+D33-E33</f>
        <v>-4387.5999999999995</v>
      </c>
      <c r="G33" s="284"/>
      <c r="H33" s="273"/>
      <c r="I33" s="498"/>
      <c r="J33" s="319"/>
    </row>
    <row r="34" spans="1:16" x14ac:dyDescent="0.2">
      <c r="A34" s="809" t="s">
        <v>35</v>
      </c>
      <c r="B34" s="810"/>
      <c r="C34" s="298">
        <f>SUM(C35:C38)</f>
        <v>80117.290000000008</v>
      </c>
      <c r="D34" s="313">
        <f>SUM(D35:D38)</f>
        <v>0</v>
      </c>
      <c r="E34" s="314">
        <f>SUM(E35:E37)</f>
        <v>951.42</v>
      </c>
      <c r="F34" s="314">
        <f>SUM(F35:F38)</f>
        <v>79165.87000000001</v>
      </c>
      <c r="G34" s="315">
        <f>SUM(G35:G37)</f>
        <v>43500</v>
      </c>
      <c r="H34" s="273"/>
      <c r="I34" s="273"/>
      <c r="P34" s="498"/>
    </row>
    <row r="35" spans="1:16" x14ac:dyDescent="0.2">
      <c r="A35" s="310"/>
      <c r="B35" s="296" t="s">
        <v>114</v>
      </c>
      <c r="C35" s="303">
        <f>'October 2022'!F35</f>
        <v>32938.67</v>
      </c>
      <c r="D35" s="322"/>
      <c r="E35" s="323">
        <v>253.04</v>
      </c>
      <c r="F35" s="324">
        <f>C35+D35-E35</f>
        <v>32685.629999999997</v>
      </c>
      <c r="G35" s="284"/>
      <c r="H35" s="273"/>
      <c r="I35" s="498"/>
      <c r="J35" s="319"/>
    </row>
    <row r="36" spans="1:16" x14ac:dyDescent="0.2">
      <c r="A36" s="310"/>
      <c r="B36" s="296" t="s">
        <v>90</v>
      </c>
      <c r="C36" s="303">
        <f>'October 2022'!F36</f>
        <v>21712.390000000007</v>
      </c>
      <c r="D36" s="322"/>
      <c r="E36" s="323">
        <v>635.12</v>
      </c>
      <c r="F36" s="324">
        <f t="shared" ref="F36" si="3">C36+D36-E36</f>
        <v>21077.270000000008</v>
      </c>
      <c r="G36" s="284">
        <v>35000</v>
      </c>
      <c r="H36" s="273"/>
      <c r="I36" s="498"/>
      <c r="J36" s="319"/>
    </row>
    <row r="37" spans="1:16" x14ac:dyDescent="0.2">
      <c r="A37" s="310"/>
      <c r="B37" s="325" t="s">
        <v>120</v>
      </c>
      <c r="C37" s="303">
        <f>'October 2022'!F37</f>
        <v>14916.229999999998</v>
      </c>
      <c r="D37" s="322"/>
      <c r="E37" s="305">
        <v>63.26</v>
      </c>
      <c r="F37" s="324">
        <f>C37+D37-E37</f>
        <v>14852.969999999998</v>
      </c>
      <c r="G37" s="284">
        <v>8500</v>
      </c>
      <c r="H37" s="273"/>
      <c r="I37" s="293"/>
      <c r="J37" s="266"/>
      <c r="P37" s="326"/>
    </row>
    <row r="38" spans="1:16" ht="12" thickBot="1" x14ac:dyDescent="0.25">
      <c r="B38" s="497" t="s">
        <v>99</v>
      </c>
      <c r="C38" s="303">
        <f>'October 2022'!F38</f>
        <v>10550</v>
      </c>
      <c r="D38" s="464"/>
      <c r="F38" s="324">
        <f>C38+D38-E38</f>
        <v>10550</v>
      </c>
    </row>
    <row r="39" spans="1:16" ht="12" thickBot="1" x14ac:dyDescent="0.25">
      <c r="A39" s="794" t="s">
        <v>11</v>
      </c>
      <c r="B39" s="795"/>
      <c r="C39" s="466">
        <f>C34+C23+C17+C6+369.29</f>
        <v>476988.37999999995</v>
      </c>
      <c r="D39" s="465">
        <f>SUM(D23,D17,D6,D34)</f>
        <v>2689.63</v>
      </c>
      <c r="E39" s="328">
        <f>SUM(E23,E17,E6,E34)</f>
        <v>25549.03</v>
      </c>
      <c r="F39" s="329">
        <f>SUM(F23,F17,F6,F34)+369.29</f>
        <v>454128.89999999997</v>
      </c>
      <c r="G39" s="330">
        <f>SUM(G6,G16,G23,G34)</f>
        <v>130500</v>
      </c>
      <c r="H39" s="498"/>
      <c r="I39" s="498"/>
      <c r="J39" s="331"/>
    </row>
    <row r="40" spans="1:16" hidden="1" x14ac:dyDescent="0.2">
      <c r="A40" s="495"/>
      <c r="B40" s="496"/>
      <c r="C40" s="498">
        <f>SUM(C17:C22)</f>
        <v>-35049.279999999999</v>
      </c>
      <c r="D40" s="498"/>
      <c r="E40" s="498"/>
      <c r="F40" s="498"/>
      <c r="G40" s="334"/>
      <c r="H40" s="498"/>
      <c r="K40" s="497" t="s">
        <v>12</v>
      </c>
      <c r="L40" s="497">
        <v>42.43</v>
      </c>
    </row>
    <row r="41" spans="1:16" ht="12" hidden="1" thickBot="1" x14ac:dyDescent="0.25">
      <c r="A41" s="335" t="s">
        <v>25</v>
      </c>
      <c r="B41" s="336"/>
      <c r="C41" s="337" t="e">
        <f>SUM(C39,#REF!)</f>
        <v>#REF!</v>
      </c>
      <c r="D41" s="338" t="e">
        <f>SUM(D39,#REF!)</f>
        <v>#REF!</v>
      </c>
      <c r="E41" s="338" t="e">
        <f>SUM(E39,#REF!)</f>
        <v>#REF!</v>
      </c>
      <c r="F41" s="339" t="e">
        <f>SUM(F39,#REF!)</f>
        <v>#REF!</v>
      </c>
      <c r="G41" s="334"/>
      <c r="H41" s="498"/>
      <c r="I41" s="331"/>
      <c r="J41" s="79">
        <v>206730.35</v>
      </c>
    </row>
    <row r="42" spans="1:16" ht="12" thickBot="1" x14ac:dyDescent="0.25">
      <c r="B42" s="340"/>
      <c r="C42" s="498"/>
      <c r="D42" s="498"/>
      <c r="E42" s="498"/>
      <c r="F42" s="498"/>
      <c r="G42" s="334"/>
      <c r="H42" s="341"/>
      <c r="I42" s="331"/>
      <c r="J42" s="79"/>
      <c r="P42" s="498"/>
    </row>
    <row r="43" spans="1:16" ht="12" thickBot="1" x14ac:dyDescent="0.25">
      <c r="A43" s="796" t="s">
        <v>13</v>
      </c>
      <c r="B43" s="797"/>
      <c r="C43" s="342" t="s">
        <v>2</v>
      </c>
      <c r="D43" s="342" t="s">
        <v>3</v>
      </c>
      <c r="E43" s="342" t="s">
        <v>27</v>
      </c>
      <c r="F43" s="342" t="s">
        <v>5</v>
      </c>
      <c r="G43" s="269"/>
      <c r="H43" s="331"/>
      <c r="I43" s="343"/>
    </row>
    <row r="44" spans="1:16" ht="12" thickBot="1" x14ac:dyDescent="0.25">
      <c r="A44" s="784" t="s">
        <v>14</v>
      </c>
      <c r="B44" s="785"/>
      <c r="C44" s="344">
        <f>'October 2022'!F44</f>
        <v>254.98999999999998</v>
      </c>
      <c r="D44" s="345"/>
      <c r="E44" s="345"/>
      <c r="F44" s="346">
        <f>C44+D44-E44</f>
        <v>254.98999999999998</v>
      </c>
      <c r="G44" s="498"/>
      <c r="I44" s="331"/>
      <c r="J44" s="79"/>
    </row>
    <row r="45" spans="1:16" ht="12" thickBot="1" x14ac:dyDescent="0.25">
      <c r="A45" s="798" t="s">
        <v>15</v>
      </c>
      <c r="B45" s="799"/>
      <c r="C45" s="344">
        <f>'October 2022'!F45</f>
        <v>21468.320000000011</v>
      </c>
      <c r="D45" s="347">
        <v>19000</v>
      </c>
      <c r="E45" s="347">
        <v>24198.03</v>
      </c>
      <c r="F45" s="346">
        <f>C45+D45-E45</f>
        <v>16270.290000000008</v>
      </c>
      <c r="G45" s="498"/>
      <c r="H45" s="349"/>
      <c r="I45" s="331"/>
    </row>
    <row r="46" spans="1:16" ht="12" thickBot="1" x14ac:dyDescent="0.25">
      <c r="A46" s="350"/>
      <c r="B46" s="351" t="s">
        <v>21</v>
      </c>
      <c r="C46" s="344">
        <f>'October 2022'!F46</f>
        <v>0</v>
      </c>
      <c r="D46" s="352"/>
      <c r="E46" s="352"/>
      <c r="F46" s="346">
        <f t="shared" ref="F46:F48" si="4">C46+D46-E46</f>
        <v>0</v>
      </c>
      <c r="G46" s="498"/>
      <c r="H46" s="349"/>
      <c r="I46" s="79"/>
    </row>
    <row r="47" spans="1:16" ht="12" thickBot="1" x14ac:dyDescent="0.25">
      <c r="A47" s="350"/>
      <c r="B47" s="351" t="s">
        <v>40</v>
      </c>
      <c r="C47" s="344">
        <f>'October 2022'!F47</f>
        <v>-2687.5700000000011</v>
      </c>
      <c r="D47" s="353">
        <v>2186.0500000000002</v>
      </c>
      <c r="E47" s="353">
        <v>2546.75</v>
      </c>
      <c r="F47" s="346">
        <f>C47+D47-E47</f>
        <v>-3048.2700000000009</v>
      </c>
      <c r="G47" s="498"/>
      <c r="H47" s="79"/>
      <c r="I47" s="79"/>
    </row>
    <row r="48" spans="1:16" ht="12" thickBot="1" x14ac:dyDescent="0.25">
      <c r="A48" s="784" t="s">
        <v>16</v>
      </c>
      <c r="B48" s="785"/>
      <c r="C48" s="344">
        <f>'October 2022'!F48</f>
        <v>229660.0500000001</v>
      </c>
      <c r="D48" s="355">
        <v>2610.44</v>
      </c>
      <c r="E48" s="355">
        <v>19000</v>
      </c>
      <c r="F48" s="346">
        <f t="shared" si="4"/>
        <v>213270.49000000011</v>
      </c>
      <c r="G48" s="498"/>
      <c r="H48" s="79"/>
      <c r="I48" s="79"/>
    </row>
    <row r="49" spans="1:16" ht="12" thickBot="1" x14ac:dyDescent="0.25">
      <c r="A49" s="357" t="s">
        <v>46</v>
      </c>
      <c r="B49" s="358"/>
      <c r="C49" s="344">
        <f>'October 2022'!F49</f>
        <v>228970.39999999991</v>
      </c>
      <c r="D49" s="322">
        <v>128.6</v>
      </c>
      <c r="E49" s="322">
        <f>1000+39.69</f>
        <v>1039.69</v>
      </c>
      <c r="F49" s="346">
        <f>C49+D49-E49</f>
        <v>228059.30999999991</v>
      </c>
      <c r="G49" s="498"/>
      <c r="H49" s="79"/>
      <c r="I49" s="79"/>
    </row>
    <row r="50" spans="1:16" ht="12" thickBot="1" x14ac:dyDescent="0.25">
      <c r="A50" s="800"/>
      <c r="B50" s="795"/>
      <c r="C50" s="360">
        <f>SUM(C44+C45+C48+C49+C47+C46)</f>
        <v>477666.19</v>
      </c>
      <c r="D50" s="361">
        <f>SUM(D44:D49)</f>
        <v>23925.089999999997</v>
      </c>
      <c r="E50" s="361">
        <f>SUM(E44:E49)</f>
        <v>46784.47</v>
      </c>
      <c r="F50" s="346">
        <f>C50+D50-E50+0.04</f>
        <v>454806.85000000003</v>
      </c>
      <c r="G50" s="498"/>
      <c r="H50" s="331"/>
      <c r="I50" s="79"/>
      <c r="J50" s="266"/>
    </row>
    <row r="51" spans="1:16" x14ac:dyDescent="0.2">
      <c r="A51" s="495"/>
      <c r="B51" s="496"/>
      <c r="C51" s="498">
        <f>C39-C50</f>
        <v>-677.81000000005588</v>
      </c>
      <c r="D51" s="498"/>
      <c r="E51" s="498"/>
      <c r="F51" s="498">
        <f>F39-F50</f>
        <v>-677.95000000006985</v>
      </c>
      <c r="H51" s="498"/>
      <c r="I51" s="331"/>
      <c r="J51" s="331"/>
      <c r="K51" s="266"/>
    </row>
    <row r="52" spans="1:16" x14ac:dyDescent="0.2">
      <c r="B52" s="340"/>
      <c r="C52" s="498"/>
      <c r="D52" s="498"/>
      <c r="E52" s="498"/>
      <c r="F52" s="498"/>
      <c r="G52" s="498"/>
      <c r="H52" s="498"/>
      <c r="I52" s="331"/>
    </row>
    <row r="53" spans="1:16" x14ac:dyDescent="0.2">
      <c r="A53" s="801" t="s">
        <v>17</v>
      </c>
      <c r="B53" s="801"/>
      <c r="C53" s="801"/>
      <c r="D53" s="801"/>
      <c r="E53" s="802" t="s">
        <v>18</v>
      </c>
      <c r="F53" s="802"/>
      <c r="G53" s="498"/>
      <c r="H53" s="498"/>
      <c r="J53" s="331"/>
    </row>
    <row r="54" spans="1:16" x14ac:dyDescent="0.2">
      <c r="C54" s="498"/>
      <c r="D54" s="498"/>
      <c r="E54" s="498"/>
      <c r="F54" s="498"/>
      <c r="G54" s="498"/>
      <c r="H54" s="498"/>
    </row>
    <row r="55" spans="1:16" x14ac:dyDescent="0.2">
      <c r="A55" s="801" t="s">
        <v>19</v>
      </c>
      <c r="B55" s="801"/>
      <c r="C55" s="801"/>
      <c r="D55" s="801"/>
      <c r="E55" s="802" t="s">
        <v>18</v>
      </c>
      <c r="F55" s="802"/>
      <c r="G55" s="498"/>
      <c r="H55" s="498"/>
    </row>
    <row r="56" spans="1:16" x14ac:dyDescent="0.2">
      <c r="A56" s="495"/>
      <c r="B56" s="496"/>
      <c r="C56" s="266"/>
      <c r="D56" s="266"/>
      <c r="E56" s="266"/>
      <c r="F56" s="79"/>
      <c r="G56" s="266"/>
      <c r="H56" s="266"/>
      <c r="I56" s="331"/>
      <c r="J56" s="79"/>
      <c r="P56" s="364"/>
    </row>
    <row r="57" spans="1:16" x14ac:dyDescent="0.2">
      <c r="B57" s="340"/>
      <c r="C57" s="331"/>
      <c r="D57" s="331"/>
      <c r="E57" s="331"/>
      <c r="F57" s="331"/>
      <c r="I57" s="331"/>
      <c r="J57" s="343"/>
      <c r="L57" s="266"/>
      <c r="P57" s="364"/>
    </row>
    <row r="58" spans="1:16" x14ac:dyDescent="0.2">
      <c r="B58" s="340"/>
      <c r="C58" s="79"/>
      <c r="D58" s="331"/>
      <c r="F58" s="331"/>
      <c r="J58" s="331"/>
    </row>
  </sheetData>
  <mergeCells count="17">
    <mergeCell ref="A48:B48"/>
    <mergeCell ref="A2:G2"/>
    <mergeCell ref="A3:G3"/>
    <mergeCell ref="A5:B5"/>
    <mergeCell ref="A6:B6"/>
    <mergeCell ref="A17:B17"/>
    <mergeCell ref="A23:B23"/>
    <mergeCell ref="A34:B34"/>
    <mergeCell ref="A39:B39"/>
    <mergeCell ref="A43:B43"/>
    <mergeCell ref="A44:B44"/>
    <mergeCell ref="A45:B45"/>
    <mergeCell ref="A50:B50"/>
    <mergeCell ref="A53:D53"/>
    <mergeCell ref="E53:F53"/>
    <mergeCell ref="A55:D55"/>
    <mergeCell ref="E55:F55"/>
  </mergeCells>
  <pageMargins left="0.7" right="0.7" top="0.75" bottom="0.75" header="0.3" footer="0.3"/>
  <pageSetup orientation="portrait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DDE8D-CA88-4D7D-A4D7-B0706BDD01D3}">
  <dimension ref="A1:R58"/>
  <sheetViews>
    <sheetView topLeftCell="A8" zoomScale="120" zoomScaleNormal="120" workbookViewId="0">
      <selection activeCell="C35" sqref="C35"/>
    </sheetView>
  </sheetViews>
  <sheetFormatPr defaultColWidth="9.140625" defaultRowHeight="11.25" x14ac:dyDescent="0.2"/>
  <cols>
    <col min="1" max="1" width="10.7109375" style="503" customWidth="1"/>
    <col min="2" max="2" width="28.140625" style="503" customWidth="1"/>
    <col min="3" max="3" width="10.5703125" style="503" customWidth="1"/>
    <col min="4" max="4" width="9.42578125" style="503" customWidth="1"/>
    <col min="5" max="5" width="9.140625" style="503"/>
    <col min="6" max="6" width="10.28515625" style="503" customWidth="1"/>
    <col min="7" max="7" width="9.28515625" style="503" customWidth="1"/>
    <col min="8" max="8" width="12.140625" style="503" customWidth="1"/>
    <col min="9" max="9" width="14.7109375" style="503" customWidth="1"/>
    <col min="10" max="10" width="14.5703125" style="503" customWidth="1"/>
    <col min="11" max="11" width="11.28515625" style="503" customWidth="1"/>
    <col min="12" max="15" width="9.140625" style="503"/>
    <col min="16" max="16" width="13" style="503" customWidth="1"/>
    <col min="17" max="16384" width="9.140625" style="503"/>
  </cols>
  <sheetData>
    <row r="1" spans="1:18" hidden="1" x14ac:dyDescent="0.2"/>
    <row r="2" spans="1:18" x14ac:dyDescent="0.2">
      <c r="A2" s="786" t="s">
        <v>0</v>
      </c>
      <c r="B2" s="786"/>
      <c r="C2" s="786"/>
      <c r="D2" s="786"/>
      <c r="E2" s="786"/>
      <c r="F2" s="786"/>
      <c r="G2" s="786"/>
      <c r="H2" s="499"/>
    </row>
    <row r="3" spans="1:18" x14ac:dyDescent="0.2">
      <c r="A3" s="787" t="s">
        <v>123</v>
      </c>
      <c r="B3" s="787"/>
      <c r="C3" s="787"/>
      <c r="D3" s="787"/>
      <c r="E3" s="787"/>
      <c r="F3" s="787"/>
      <c r="G3" s="787"/>
      <c r="H3" s="500"/>
    </row>
    <row r="4" spans="1:18" ht="12" thickBot="1" x14ac:dyDescent="0.25">
      <c r="B4" s="265" t="s">
        <v>37</v>
      </c>
      <c r="F4" s="266"/>
      <c r="I4" s="267"/>
    </row>
    <row r="5" spans="1:18" x14ac:dyDescent="0.2">
      <c r="A5" s="788" t="s">
        <v>1</v>
      </c>
      <c r="B5" s="789"/>
      <c r="C5" s="268" t="s">
        <v>2</v>
      </c>
      <c r="D5" s="268" t="s">
        <v>3</v>
      </c>
      <c r="E5" s="268" t="s">
        <v>58</v>
      </c>
      <c r="F5" s="268" t="s">
        <v>5</v>
      </c>
      <c r="G5" s="268" t="s">
        <v>6</v>
      </c>
      <c r="H5" s="269"/>
      <c r="I5" s="269"/>
    </row>
    <row r="6" spans="1:18" ht="15" x14ac:dyDescent="0.25">
      <c r="A6" s="803" t="s">
        <v>7</v>
      </c>
      <c r="B6" s="804"/>
      <c r="C6" s="270">
        <f>SUM(C7:C16)</f>
        <v>233611.15</v>
      </c>
      <c r="D6" s="271">
        <f>SUM(D7:D16)</f>
        <v>25772.15</v>
      </c>
      <c r="E6" s="271">
        <f>SUM(E7:E16)</f>
        <v>2292.2599999999998</v>
      </c>
      <c r="F6" s="271">
        <f>SUM(F7:F16)</f>
        <v>257091.04</v>
      </c>
      <c r="G6" s="272">
        <f>SUM(G7:G15)</f>
        <v>0</v>
      </c>
      <c r="H6" s="273"/>
      <c r="I6" s="273"/>
      <c r="J6" s="273"/>
      <c r="K6" s="504"/>
      <c r="P6" s="504"/>
      <c r="R6" s="504"/>
    </row>
    <row r="7" spans="1:18" ht="12" customHeight="1" x14ac:dyDescent="0.2">
      <c r="A7" s="275"/>
      <c r="B7" s="276" t="s">
        <v>23</v>
      </c>
      <c r="C7" s="277">
        <f>'November 2022'!F7</f>
        <v>250640.12</v>
      </c>
      <c r="D7" s="278">
        <f>213.95+24000</f>
        <v>24213.95</v>
      </c>
      <c r="E7" s="430">
        <f>1000+1885.17+521.9+3000+182.25-7173.54</f>
        <v>-584.22000000000025</v>
      </c>
      <c r="F7" s="279">
        <f>C7+D7-E7</f>
        <v>275438.28999999998</v>
      </c>
      <c r="G7" s="280"/>
      <c r="H7" s="281"/>
      <c r="I7" s="504"/>
    </row>
    <row r="8" spans="1:18" x14ac:dyDescent="0.2">
      <c r="A8" s="282"/>
      <c r="B8" s="283" t="s">
        <v>62</v>
      </c>
      <c r="C8" s="277">
        <f>'November 2022'!F8</f>
        <v>-18308.41</v>
      </c>
      <c r="D8" s="284"/>
      <c r="E8" s="284">
        <v>2323.5100000000002</v>
      </c>
      <c r="F8" s="286">
        <f t="shared" ref="F8:F15" si="0">C8+D8-E8</f>
        <v>-20631.919999999998</v>
      </c>
      <c r="G8" s="280"/>
      <c r="H8" s="273"/>
      <c r="I8" s="287"/>
    </row>
    <row r="9" spans="1:18" hidden="1" x14ac:dyDescent="0.2">
      <c r="A9" s="282"/>
      <c r="B9" s="288" t="s">
        <v>67</v>
      </c>
      <c r="C9" s="277">
        <f>'November 2022'!F9</f>
        <v>0</v>
      </c>
      <c r="D9" s="284"/>
      <c r="E9" s="284"/>
      <c r="F9" s="279">
        <f t="shared" si="0"/>
        <v>0</v>
      </c>
      <c r="G9" s="280"/>
      <c r="H9" s="273"/>
      <c r="I9" s="289"/>
      <c r="J9" s="504"/>
    </row>
    <row r="10" spans="1:18" hidden="1" x14ac:dyDescent="0.2">
      <c r="A10" s="282"/>
      <c r="B10" s="288" t="s">
        <v>41</v>
      </c>
      <c r="C10" s="277">
        <f>'November 2022'!F10</f>
        <v>-1.0000000002037268E-2</v>
      </c>
      <c r="D10" s="290"/>
      <c r="E10" s="290"/>
      <c r="F10" s="286">
        <f t="shared" si="0"/>
        <v>-1.0000000002037268E-2</v>
      </c>
      <c r="G10" s="280"/>
      <c r="H10" s="273"/>
      <c r="I10" s="291"/>
      <c r="J10" s="504"/>
    </row>
    <row r="11" spans="1:18" x14ac:dyDescent="0.2">
      <c r="A11" s="282"/>
      <c r="B11" s="288" t="s">
        <v>117</v>
      </c>
      <c r="C11" s="277">
        <f>'November 2022'!F11</f>
        <v>500</v>
      </c>
      <c r="D11" s="292"/>
      <c r="E11" s="292"/>
      <c r="F11" s="279">
        <f t="shared" si="0"/>
        <v>500</v>
      </c>
      <c r="G11" s="280"/>
      <c r="H11" s="273"/>
      <c r="I11" s="293"/>
    </row>
    <row r="12" spans="1:18" x14ac:dyDescent="0.2">
      <c r="A12" s="282"/>
      <c r="B12" s="288" t="s">
        <v>20</v>
      </c>
      <c r="C12" s="277">
        <f>'November 2022'!F12</f>
        <v>2833.5600000000009</v>
      </c>
      <c r="D12" s="294">
        <v>27.13</v>
      </c>
      <c r="E12" s="294">
        <f>33.87+45</f>
        <v>78.87</v>
      </c>
      <c r="F12" s="295">
        <f>C12+D12-E12</f>
        <v>2781.8200000000011</v>
      </c>
      <c r="G12" s="280"/>
      <c r="H12" s="273"/>
      <c r="I12" s="504"/>
    </row>
    <row r="13" spans="1:18" x14ac:dyDescent="0.2">
      <c r="A13" s="282"/>
      <c r="B13" s="288" t="s">
        <v>22</v>
      </c>
      <c r="C13" s="277">
        <f>'November 2022'!F13</f>
        <v>13.289999999999875</v>
      </c>
      <c r="D13" s="294">
        <v>1.87</v>
      </c>
      <c r="E13" s="294"/>
      <c r="F13" s="295">
        <f>C13+D13-E13</f>
        <v>15.159999999999876</v>
      </c>
      <c r="G13" s="280"/>
      <c r="H13" s="273"/>
      <c r="I13" s="504"/>
    </row>
    <row r="14" spans="1:18" x14ac:dyDescent="0.2">
      <c r="A14" s="282"/>
      <c r="B14" s="288" t="s">
        <v>28</v>
      </c>
      <c r="C14" s="277">
        <f>'November 2022'!F14</f>
        <v>-1514.9100000000012</v>
      </c>
      <c r="D14" s="294">
        <v>1529.2</v>
      </c>
      <c r="E14" s="294">
        <v>144.03</v>
      </c>
      <c r="F14" s="286">
        <f t="shared" si="0"/>
        <v>-129.74000000000117</v>
      </c>
      <c r="G14" s="280"/>
      <c r="H14" s="273"/>
      <c r="I14" s="504"/>
    </row>
    <row r="15" spans="1:18" x14ac:dyDescent="0.2">
      <c r="A15" s="282"/>
      <c r="B15" s="296" t="s">
        <v>42</v>
      </c>
      <c r="C15" s="277">
        <f>'November 2022'!F15</f>
        <v>180.72000000000003</v>
      </c>
      <c r="D15" s="284"/>
      <c r="E15" s="284">
        <v>330.07</v>
      </c>
      <c r="F15" s="297">
        <f t="shared" si="0"/>
        <v>-149.34999999999997</v>
      </c>
      <c r="G15" s="280"/>
      <c r="H15" s="273"/>
      <c r="I15" s="504"/>
    </row>
    <row r="16" spans="1:18" x14ac:dyDescent="0.2">
      <c r="A16" s="282"/>
      <c r="B16" s="296" t="s">
        <v>43</v>
      </c>
      <c r="C16" s="277">
        <f>'November 2022'!F16</f>
        <v>-733.21000000000038</v>
      </c>
      <c r="D16" s="284"/>
      <c r="E16" s="284"/>
      <c r="F16" s="295">
        <f>C16+D16-E16</f>
        <v>-733.21000000000038</v>
      </c>
      <c r="G16" s="280"/>
      <c r="H16" s="273"/>
      <c r="I16" s="273"/>
      <c r="P16" s="504"/>
    </row>
    <row r="17" spans="1:16" ht="15" x14ac:dyDescent="0.25">
      <c r="A17" s="805" t="s">
        <v>53</v>
      </c>
      <c r="B17" s="806"/>
      <c r="C17" s="298">
        <f>SUM(C18:C22)</f>
        <v>-24198.57</v>
      </c>
      <c r="D17" s="299">
        <f>SUM(D18:D22)</f>
        <v>0</v>
      </c>
      <c r="E17" s="299">
        <f>SUM(E18:E22)</f>
        <v>5203.1400000000003</v>
      </c>
      <c r="F17" s="286">
        <f>SUM(F18:F22)</f>
        <v>-29401.710000000003</v>
      </c>
      <c r="G17" s="300"/>
      <c r="H17" s="273"/>
      <c r="I17" s="273"/>
      <c r="P17" s="504"/>
    </row>
    <row r="18" spans="1:16" x14ac:dyDescent="0.2">
      <c r="A18" s="301"/>
      <c r="B18" s="302" t="s">
        <v>9</v>
      </c>
      <c r="C18" s="303">
        <f>'November 2022'!F18</f>
        <v>-4797.8900000000021</v>
      </c>
      <c r="D18" s="304"/>
      <c r="E18" s="305">
        <v>3036.48</v>
      </c>
      <c r="F18" s="306">
        <f>C18+D18-E18</f>
        <v>-7834.3700000000026</v>
      </c>
      <c r="G18" s="284"/>
      <c r="H18" s="273"/>
      <c r="I18" s="504"/>
      <c r="J18" s="79"/>
    </row>
    <row r="19" spans="1:16" x14ac:dyDescent="0.2">
      <c r="A19" s="282"/>
      <c r="B19" s="307" t="s">
        <v>8</v>
      </c>
      <c r="C19" s="303">
        <f>'November 2022'!F19</f>
        <v>-11402.51</v>
      </c>
      <c r="D19" s="294"/>
      <c r="E19" s="290">
        <v>1518.24</v>
      </c>
      <c r="F19" s="306">
        <f>C19+D19-E19</f>
        <v>-12920.75</v>
      </c>
      <c r="G19" s="505">
        <v>12934.23</v>
      </c>
      <c r="H19" s="273"/>
      <c r="I19" s="504"/>
    </row>
    <row r="20" spans="1:16" x14ac:dyDescent="0.2">
      <c r="A20" s="282"/>
      <c r="B20" s="307" t="s">
        <v>32</v>
      </c>
      <c r="C20" s="303">
        <f>'November 2022'!F20</f>
        <v>1200.0799999999995</v>
      </c>
      <c r="D20" s="294"/>
      <c r="E20" s="290">
        <v>395.38</v>
      </c>
      <c r="F20" s="306">
        <f t="shared" ref="F20:F22" si="1">C20+D20-E20</f>
        <v>804.69999999999948</v>
      </c>
      <c r="G20" s="309"/>
      <c r="H20" s="273"/>
      <c r="I20" s="504"/>
    </row>
    <row r="21" spans="1:16" hidden="1" x14ac:dyDescent="0.2">
      <c r="A21" s="282"/>
      <c r="B21" s="307" t="s">
        <v>67</v>
      </c>
      <c r="C21" s="303">
        <f>'November 2022'!F21</f>
        <v>-9.0951551845463996E-15</v>
      </c>
      <c r="D21" s="294"/>
      <c r="E21" s="294"/>
      <c r="F21" s="306">
        <f t="shared" si="1"/>
        <v>-9.0951551845463996E-15</v>
      </c>
      <c r="G21" s="309"/>
      <c r="H21" s="273"/>
      <c r="I21" s="504"/>
    </row>
    <row r="22" spans="1:16" x14ac:dyDescent="0.2">
      <c r="A22" s="310"/>
      <c r="B22" s="311" t="s">
        <v>38</v>
      </c>
      <c r="C22" s="303">
        <f>'November 2022'!F22</f>
        <v>-9198.25</v>
      </c>
      <c r="D22" s="312"/>
      <c r="E22" s="305">
        <v>253.04</v>
      </c>
      <c r="F22" s="306">
        <f t="shared" si="1"/>
        <v>-9451.2900000000009</v>
      </c>
      <c r="G22" s="284">
        <v>8000</v>
      </c>
      <c r="H22" s="273"/>
      <c r="I22" s="504"/>
      <c r="J22" s="79"/>
    </row>
    <row r="23" spans="1:16" x14ac:dyDescent="0.2">
      <c r="A23" s="807" t="s">
        <v>10</v>
      </c>
      <c r="B23" s="808"/>
      <c r="C23" s="298">
        <f>SUM(C24:C33)</f>
        <v>165181.24</v>
      </c>
      <c r="D23" s="313">
        <f>SUM(D24:D33)</f>
        <v>2988.85</v>
      </c>
      <c r="E23" s="314">
        <f>SUM(E24:E33)</f>
        <v>12502.210000000001</v>
      </c>
      <c r="F23" s="314">
        <f>SUM(F24:F33)-0.08</f>
        <v>155667.80000000005</v>
      </c>
      <c r="G23" s="315">
        <f>SUM(G33:G37)</f>
        <v>87000</v>
      </c>
      <c r="H23" s="273"/>
      <c r="I23" s="273"/>
      <c r="P23" s="504"/>
    </row>
    <row r="24" spans="1:16" hidden="1" x14ac:dyDescent="0.2">
      <c r="A24" s="301"/>
      <c r="B24" s="316" t="s">
        <v>55</v>
      </c>
      <c r="C24" s="303">
        <f>'February 2021'!G24</f>
        <v>0</v>
      </c>
      <c r="D24" s="317"/>
      <c r="E24" s="304"/>
      <c r="F24" s="318">
        <f>C24+D24-E24</f>
        <v>0</v>
      </c>
      <c r="G24" s="278"/>
      <c r="H24" s="273"/>
      <c r="I24" s="504"/>
      <c r="J24" s="319"/>
    </row>
    <row r="25" spans="1:16" hidden="1" x14ac:dyDescent="0.2">
      <c r="A25" s="310"/>
      <c r="B25" s="296" t="s">
        <v>70</v>
      </c>
      <c r="C25" s="303">
        <f>'January 2022'!F25</f>
        <v>7.9999999998108251E-2</v>
      </c>
      <c r="D25" s="312"/>
      <c r="E25" s="312"/>
      <c r="F25" s="318">
        <f>C25+D25-E25</f>
        <v>7.9999999998108251E-2</v>
      </c>
      <c r="G25" s="284"/>
      <c r="H25" s="273"/>
      <c r="I25" s="504"/>
      <c r="J25" s="319"/>
    </row>
    <row r="26" spans="1:16" x14ac:dyDescent="0.2">
      <c r="A26" s="275"/>
      <c r="B26" s="320" t="s">
        <v>105</v>
      </c>
      <c r="C26" s="303">
        <f>'November 2022'!F26</f>
        <v>9876.3100000000068</v>
      </c>
      <c r="D26" s="305"/>
      <c r="E26" s="321"/>
      <c r="F26" s="318">
        <f t="shared" ref="F26:F31" si="2">C26+D26-E26</f>
        <v>9876.3100000000068</v>
      </c>
      <c r="G26" s="284"/>
      <c r="H26" s="273"/>
      <c r="I26" s="504"/>
      <c r="J26" s="504"/>
    </row>
    <row r="27" spans="1:16" hidden="1" x14ac:dyDescent="0.2">
      <c r="A27" s="275"/>
      <c r="B27" s="320" t="s">
        <v>39</v>
      </c>
      <c r="C27" s="303">
        <f>'November 2022'!F27</f>
        <v>8.1854523159563541E-12</v>
      </c>
      <c r="D27" s="312"/>
      <c r="E27" s="305"/>
      <c r="F27" s="318">
        <f t="shared" si="2"/>
        <v>8.1854523159563541E-12</v>
      </c>
      <c r="G27" s="284"/>
      <c r="H27" s="273"/>
      <c r="I27" s="504"/>
      <c r="J27" s="504"/>
    </row>
    <row r="28" spans="1:16" x14ac:dyDescent="0.2">
      <c r="A28" s="275"/>
      <c r="B28" s="320" t="s">
        <v>115</v>
      </c>
      <c r="C28" s="303">
        <f>'November 2022'!F28</f>
        <v>18710</v>
      </c>
      <c r="D28" s="312"/>
      <c r="E28" s="312"/>
      <c r="F28" s="318">
        <f t="shared" si="2"/>
        <v>18710</v>
      </c>
      <c r="G28" s="284"/>
      <c r="H28" s="273"/>
      <c r="I28" s="504"/>
      <c r="J28" s="504"/>
    </row>
    <row r="29" spans="1:16" x14ac:dyDescent="0.2">
      <c r="A29" s="275"/>
      <c r="B29" s="320" t="s">
        <v>86</v>
      </c>
      <c r="C29" s="303">
        <f>'November 2022'!F29</f>
        <v>24447.37</v>
      </c>
      <c r="D29" s="312"/>
      <c r="E29" s="312">
        <v>11645.17</v>
      </c>
      <c r="F29" s="318">
        <f t="shared" si="2"/>
        <v>12802.199999999999</v>
      </c>
      <c r="G29" s="284"/>
      <c r="H29" s="273"/>
      <c r="I29" s="504"/>
      <c r="J29" s="504"/>
    </row>
    <row r="30" spans="1:16" x14ac:dyDescent="0.2">
      <c r="A30" s="275"/>
      <c r="B30" s="320" t="s">
        <v>101</v>
      </c>
      <c r="C30" s="303">
        <f>'November 2022'!F30</f>
        <v>124406</v>
      </c>
      <c r="D30" s="312"/>
      <c r="E30" s="312"/>
      <c r="F30" s="318">
        <f t="shared" si="2"/>
        <v>124406</v>
      </c>
      <c r="G30" s="284"/>
      <c r="H30" s="273"/>
      <c r="I30" s="504"/>
      <c r="J30" s="504"/>
    </row>
    <row r="31" spans="1:16" x14ac:dyDescent="0.2">
      <c r="A31" s="275"/>
      <c r="B31" s="320" t="s">
        <v>119</v>
      </c>
      <c r="C31" s="303">
        <f>'November 2022'!F31</f>
        <v>0</v>
      </c>
      <c r="D31" s="312"/>
      <c r="E31" s="312"/>
      <c r="F31" s="318">
        <f t="shared" si="2"/>
        <v>0</v>
      </c>
      <c r="G31" s="284">
        <v>118184</v>
      </c>
      <c r="H31" s="273"/>
      <c r="I31" s="504"/>
      <c r="J31" s="504"/>
    </row>
    <row r="32" spans="1:16" x14ac:dyDescent="0.2">
      <c r="A32" s="275"/>
      <c r="B32" s="296" t="s">
        <v>44</v>
      </c>
      <c r="C32" s="303">
        <f>'November 2022'!F32</f>
        <v>-7870.92</v>
      </c>
      <c r="D32" s="312"/>
      <c r="E32" s="305">
        <v>718.2</v>
      </c>
      <c r="F32" s="318">
        <f>C32+D32-E32</f>
        <v>-8589.1200000000008</v>
      </c>
      <c r="G32" s="284"/>
      <c r="H32" s="273"/>
      <c r="I32" s="504"/>
      <c r="J32" s="504"/>
    </row>
    <row r="33" spans="1:16" x14ac:dyDescent="0.2">
      <c r="A33" s="310"/>
      <c r="B33" s="503" t="s">
        <v>111</v>
      </c>
      <c r="C33" s="303">
        <f>'November 2022'!F33</f>
        <v>-4387.5999999999995</v>
      </c>
      <c r="D33" s="468">
        <v>2988.85</v>
      </c>
      <c r="E33" s="503">
        <v>138.84</v>
      </c>
      <c r="F33" s="324">
        <f>C33+D33-E33</f>
        <v>-1537.5899999999995</v>
      </c>
      <c r="G33" s="284"/>
      <c r="H33" s="273"/>
      <c r="I33" s="504"/>
      <c r="J33" s="319"/>
    </row>
    <row r="34" spans="1:16" x14ac:dyDescent="0.2">
      <c r="A34" s="809" t="s">
        <v>35</v>
      </c>
      <c r="B34" s="810"/>
      <c r="C34" s="298">
        <f>SUM(C35:C38)</f>
        <v>79165.87000000001</v>
      </c>
      <c r="D34" s="313">
        <f>SUM(D35:D38)</f>
        <v>0</v>
      </c>
      <c r="E34" s="314">
        <f>SUM(E35:E37)</f>
        <v>3586.2200000000003</v>
      </c>
      <c r="F34" s="314">
        <f>SUM(F35:F38)</f>
        <v>75579.650000000009</v>
      </c>
      <c r="G34" s="315">
        <f>SUM(G35:G37)</f>
        <v>43500</v>
      </c>
      <c r="H34" s="273"/>
      <c r="I34" s="273"/>
      <c r="P34" s="504"/>
    </row>
    <row r="35" spans="1:16" x14ac:dyDescent="0.2">
      <c r="A35" s="310"/>
      <c r="B35" s="296" t="s">
        <v>114</v>
      </c>
      <c r="C35" s="303">
        <f>'November 2022'!F35</f>
        <v>32685.629999999997</v>
      </c>
      <c r="D35" s="322"/>
      <c r="E35" s="323"/>
      <c r="F35" s="324">
        <f>C35+D35-E35</f>
        <v>32685.629999999997</v>
      </c>
      <c r="G35" s="284"/>
      <c r="H35" s="273"/>
      <c r="I35" s="504"/>
      <c r="J35" s="319"/>
    </row>
    <row r="36" spans="1:16" x14ac:dyDescent="0.2">
      <c r="A36" s="310"/>
      <c r="B36" s="296" t="s">
        <v>90</v>
      </c>
      <c r="C36" s="303">
        <f>'November 2022'!F36</f>
        <v>21077.270000000008</v>
      </c>
      <c r="D36" s="322"/>
      <c r="E36" s="323">
        <v>57.61</v>
      </c>
      <c r="F36" s="324">
        <f t="shared" ref="F36" si="3">C36+D36-E36</f>
        <v>21019.660000000007</v>
      </c>
      <c r="G36" s="284">
        <v>35000</v>
      </c>
      <c r="H36" s="273"/>
      <c r="I36" s="504"/>
      <c r="J36" s="319"/>
    </row>
    <row r="37" spans="1:16" x14ac:dyDescent="0.2">
      <c r="A37" s="310"/>
      <c r="B37" s="325" t="s">
        <v>120</v>
      </c>
      <c r="C37" s="303">
        <f>'November 2022'!F37</f>
        <v>14852.969999999998</v>
      </c>
      <c r="D37" s="322"/>
      <c r="E37" s="305">
        <v>3528.61</v>
      </c>
      <c r="F37" s="324">
        <f>C37+D37-E37</f>
        <v>11324.359999999997</v>
      </c>
      <c r="G37" s="284">
        <v>8500</v>
      </c>
      <c r="H37" s="273"/>
      <c r="I37" s="293"/>
      <c r="J37" s="266"/>
      <c r="P37" s="326"/>
    </row>
    <row r="38" spans="1:16" ht="12" thickBot="1" x14ac:dyDescent="0.25">
      <c r="B38" s="503" t="s">
        <v>99</v>
      </c>
      <c r="C38" s="303">
        <f>'November 2022'!F38</f>
        <v>10550</v>
      </c>
      <c r="D38" s="464"/>
      <c r="F38" s="324">
        <f>C38+D38-E38</f>
        <v>10550</v>
      </c>
    </row>
    <row r="39" spans="1:16" ht="12" thickBot="1" x14ac:dyDescent="0.25">
      <c r="A39" s="794" t="s">
        <v>11</v>
      </c>
      <c r="B39" s="795"/>
      <c r="C39" s="466">
        <f>C34+C23+C17+C6+369.29+677.83</f>
        <v>454806.80999999994</v>
      </c>
      <c r="D39" s="465">
        <f>SUM(D23,D17,D6,D34)</f>
        <v>28761</v>
      </c>
      <c r="E39" s="328">
        <f>SUM(E23,E17,E6,E34)</f>
        <v>23583.83</v>
      </c>
      <c r="F39" s="329">
        <f>SUM(F23,F17,F6,F34)+369.29+678.02</f>
        <v>459984.09000000008</v>
      </c>
      <c r="G39" s="330">
        <f>SUM(G6,G16,G23,G34)</f>
        <v>130500</v>
      </c>
      <c r="H39" s="504"/>
      <c r="I39" s="504"/>
      <c r="J39" s="331"/>
    </row>
    <row r="40" spans="1:16" hidden="1" x14ac:dyDescent="0.2">
      <c r="A40" s="501"/>
      <c r="B40" s="502"/>
      <c r="C40" s="504">
        <f>SUM(C17:C22)</f>
        <v>-48397.14</v>
      </c>
      <c r="D40" s="504"/>
      <c r="E40" s="504"/>
      <c r="F40" s="504"/>
      <c r="G40" s="334"/>
      <c r="H40" s="504"/>
      <c r="K40" s="503" t="s">
        <v>12</v>
      </c>
      <c r="L40" s="503">
        <v>42.43</v>
      </c>
    </row>
    <row r="41" spans="1:16" ht="12" hidden="1" thickBot="1" x14ac:dyDescent="0.25">
      <c r="A41" s="335" t="s">
        <v>25</v>
      </c>
      <c r="B41" s="336"/>
      <c r="C41" s="337" t="e">
        <f>SUM(C39,#REF!)</f>
        <v>#REF!</v>
      </c>
      <c r="D41" s="338" t="e">
        <f>SUM(D39,#REF!)</f>
        <v>#REF!</v>
      </c>
      <c r="E41" s="338" t="e">
        <f>SUM(E39,#REF!)</f>
        <v>#REF!</v>
      </c>
      <c r="F41" s="339" t="e">
        <f>SUM(F39,#REF!)</f>
        <v>#REF!</v>
      </c>
      <c r="G41" s="334"/>
      <c r="H41" s="504"/>
      <c r="I41" s="331"/>
      <c r="J41" s="79">
        <v>206730.35</v>
      </c>
    </row>
    <row r="42" spans="1:16" ht="12" thickBot="1" x14ac:dyDescent="0.25">
      <c r="B42" s="340"/>
      <c r="C42" s="504"/>
      <c r="D42" s="504"/>
      <c r="E42" s="504"/>
      <c r="F42" s="504"/>
      <c r="G42" s="334"/>
      <c r="H42" s="341"/>
      <c r="I42" s="331"/>
      <c r="J42" s="79"/>
      <c r="P42" s="504"/>
    </row>
    <row r="43" spans="1:16" ht="12" thickBot="1" x14ac:dyDescent="0.25">
      <c r="A43" s="796" t="s">
        <v>13</v>
      </c>
      <c r="B43" s="797"/>
      <c r="C43" s="342" t="s">
        <v>2</v>
      </c>
      <c r="D43" s="342" t="s">
        <v>3</v>
      </c>
      <c r="E43" s="342" t="s">
        <v>27</v>
      </c>
      <c r="F43" s="342" t="s">
        <v>5</v>
      </c>
      <c r="G43" s="269"/>
      <c r="H43" s="331"/>
      <c r="I43" s="343"/>
    </row>
    <row r="44" spans="1:16" ht="12" thickBot="1" x14ac:dyDescent="0.25">
      <c r="A44" s="784" t="s">
        <v>14</v>
      </c>
      <c r="B44" s="785"/>
      <c r="C44" s="344">
        <f>'November 2022'!F44</f>
        <v>254.98999999999998</v>
      </c>
      <c r="D44" s="345"/>
      <c r="E44" s="345">
        <v>14.4</v>
      </c>
      <c r="F44" s="346">
        <f>C44+D44-E44</f>
        <v>240.58999999999997</v>
      </c>
      <c r="G44" s="504"/>
      <c r="I44" s="331"/>
      <c r="J44" s="79"/>
    </row>
    <row r="45" spans="1:16" ht="12" thickBot="1" x14ac:dyDescent="0.25">
      <c r="A45" s="798" t="s">
        <v>15</v>
      </c>
      <c r="B45" s="799"/>
      <c r="C45" s="344">
        <f>'November 2022'!F45</f>
        <v>16270.290000000008</v>
      </c>
      <c r="D45" s="347">
        <v>25000</v>
      </c>
      <c r="E45" s="347">
        <v>20002.009999999998</v>
      </c>
      <c r="F45" s="346">
        <f>C45+D45-E45</f>
        <v>21268.28000000001</v>
      </c>
      <c r="G45" s="504"/>
      <c r="H45" s="349"/>
      <c r="I45" s="331"/>
    </row>
    <row r="46" spans="1:16" ht="12" thickBot="1" x14ac:dyDescent="0.25">
      <c r="A46" s="350"/>
      <c r="B46" s="351" t="s">
        <v>21</v>
      </c>
      <c r="C46" s="344">
        <f>'November 2022'!F46</f>
        <v>0</v>
      </c>
      <c r="D46" s="352"/>
      <c r="E46" s="352"/>
      <c r="F46" s="346">
        <f t="shared" ref="F46:F48" si="4">C46+D46-E46</f>
        <v>0</v>
      </c>
      <c r="G46" s="504"/>
      <c r="H46" s="349"/>
      <c r="I46" s="79"/>
    </row>
    <row r="47" spans="1:16" ht="12" thickBot="1" x14ac:dyDescent="0.25">
      <c r="A47" s="350"/>
      <c r="B47" s="351" t="s">
        <v>40</v>
      </c>
      <c r="C47" s="344">
        <f>'November 2022'!F47</f>
        <v>-3048.2700000000009</v>
      </c>
      <c r="D47" s="353">
        <v>2546.75</v>
      </c>
      <c r="E47" s="353">
        <v>3557.11</v>
      </c>
      <c r="F47" s="346">
        <f>C47+D47-E47</f>
        <v>-4058.630000000001</v>
      </c>
      <c r="G47" s="504"/>
      <c r="H47" s="79"/>
      <c r="I47" s="79"/>
    </row>
    <row r="48" spans="1:16" ht="12" thickBot="1" x14ac:dyDescent="0.25">
      <c r="A48" s="784" t="s">
        <v>16</v>
      </c>
      <c r="B48" s="785"/>
      <c r="C48" s="344">
        <f>'November 2022'!F48</f>
        <v>213270.49000000011</v>
      </c>
      <c r="D48" s="355">
        <v>27070.92</v>
      </c>
      <c r="E48" s="355">
        <v>25000</v>
      </c>
      <c r="F48" s="346">
        <f t="shared" si="4"/>
        <v>215341.41000000009</v>
      </c>
      <c r="G48" s="504"/>
      <c r="H48" s="79"/>
      <c r="I48" s="79"/>
    </row>
    <row r="49" spans="1:16" ht="12" thickBot="1" x14ac:dyDescent="0.25">
      <c r="A49" s="357" t="s">
        <v>46</v>
      </c>
      <c r="B49" s="358"/>
      <c r="C49" s="344">
        <f>'November 2022'!F49</f>
        <v>228059.30999999991</v>
      </c>
      <c r="D49" s="322">
        <v>160.88</v>
      </c>
      <c r="E49" s="322">
        <f>1000+27.79</f>
        <v>1027.79</v>
      </c>
      <c r="F49" s="346">
        <f>C49+D49-E49</f>
        <v>227192.39999999991</v>
      </c>
      <c r="G49" s="504"/>
      <c r="H49" s="79"/>
      <c r="I49" s="79"/>
    </row>
    <row r="50" spans="1:16" ht="12" thickBot="1" x14ac:dyDescent="0.25">
      <c r="A50" s="800"/>
      <c r="B50" s="795"/>
      <c r="C50" s="360">
        <f>SUM(C44+C45+C48+C49+C47+C46)</f>
        <v>454806.81</v>
      </c>
      <c r="D50" s="361">
        <f>SUM(D44:D49)</f>
        <v>54778.549999999996</v>
      </c>
      <c r="E50" s="361">
        <f>SUM(E44:E49)</f>
        <v>49601.310000000005</v>
      </c>
      <c r="F50" s="346">
        <f>C50+D50-E50+0.04</f>
        <v>459984.08999999997</v>
      </c>
      <c r="G50" s="504"/>
      <c r="H50" s="331"/>
      <c r="I50" s="79"/>
      <c r="J50" s="266"/>
    </row>
    <row r="51" spans="1:16" x14ac:dyDescent="0.2">
      <c r="A51" s="501"/>
      <c r="B51" s="502"/>
      <c r="C51" s="504">
        <f>C39-C50</f>
        <v>0</v>
      </c>
      <c r="D51" s="504"/>
      <c r="E51" s="504"/>
      <c r="F51" s="504">
        <f>F39-F50</f>
        <v>0</v>
      </c>
      <c r="H51" s="504"/>
      <c r="I51" s="331"/>
      <c r="J51" s="331"/>
      <c r="K51" s="266"/>
    </row>
    <row r="52" spans="1:16" x14ac:dyDescent="0.2">
      <c r="B52" s="340"/>
      <c r="C52" s="504"/>
      <c r="D52" s="504"/>
      <c r="E52" s="504"/>
      <c r="F52" s="504"/>
      <c r="G52" s="504"/>
      <c r="H52" s="504"/>
      <c r="I52" s="331"/>
    </row>
    <row r="53" spans="1:16" x14ac:dyDescent="0.2">
      <c r="A53" s="801" t="s">
        <v>17</v>
      </c>
      <c r="B53" s="801"/>
      <c r="C53" s="801"/>
      <c r="D53" s="801"/>
      <c r="E53" s="802" t="s">
        <v>18</v>
      </c>
      <c r="F53" s="802"/>
      <c r="G53" s="504"/>
      <c r="H53" s="504"/>
      <c r="J53" s="331"/>
    </row>
    <row r="54" spans="1:16" x14ac:dyDescent="0.2">
      <c r="C54" s="504"/>
      <c r="D54" s="504"/>
      <c r="E54" s="504"/>
      <c r="F54" s="504"/>
      <c r="G54" s="504"/>
      <c r="H54" s="504"/>
    </row>
    <row r="55" spans="1:16" x14ac:dyDescent="0.2">
      <c r="A55" s="801" t="s">
        <v>19</v>
      </c>
      <c r="B55" s="801"/>
      <c r="C55" s="801"/>
      <c r="D55" s="801"/>
      <c r="E55" s="802" t="s">
        <v>18</v>
      </c>
      <c r="F55" s="802"/>
      <c r="G55" s="504"/>
      <c r="H55" s="504"/>
    </row>
    <row r="56" spans="1:16" x14ac:dyDescent="0.2">
      <c r="A56" s="501"/>
      <c r="B56" s="502"/>
      <c r="C56" s="266"/>
      <c r="D56" s="266"/>
      <c r="E56" s="266"/>
      <c r="F56" s="79"/>
      <c r="G56" s="266"/>
      <c r="H56" s="266"/>
      <c r="I56" s="331"/>
      <c r="J56" s="79"/>
      <c r="P56" s="364"/>
    </row>
    <row r="57" spans="1:16" x14ac:dyDescent="0.2">
      <c r="B57" s="340"/>
      <c r="C57" s="331"/>
      <c r="D57" s="331"/>
      <c r="E57" s="331"/>
      <c r="F57" s="331"/>
      <c r="I57" s="331"/>
      <c r="J57" s="343"/>
      <c r="L57" s="266"/>
      <c r="P57" s="364"/>
    </row>
    <row r="58" spans="1:16" x14ac:dyDescent="0.2">
      <c r="B58" s="340"/>
      <c r="C58" s="79"/>
      <c r="D58" s="331"/>
      <c r="F58" s="331"/>
      <c r="J58" s="331"/>
    </row>
  </sheetData>
  <mergeCells count="17">
    <mergeCell ref="A48:B48"/>
    <mergeCell ref="A2:G2"/>
    <mergeCell ref="A3:G3"/>
    <mergeCell ref="A5:B5"/>
    <mergeCell ref="A6:B6"/>
    <mergeCell ref="A17:B17"/>
    <mergeCell ref="A23:B23"/>
    <mergeCell ref="A34:B34"/>
    <mergeCell ref="A39:B39"/>
    <mergeCell ref="A43:B43"/>
    <mergeCell ref="A44:B44"/>
    <mergeCell ref="A45:B45"/>
    <mergeCell ref="A50:B50"/>
    <mergeCell ref="A53:D53"/>
    <mergeCell ref="E53:F53"/>
    <mergeCell ref="A55:D55"/>
    <mergeCell ref="E55:F55"/>
  </mergeCells>
  <pageMargins left="0.7" right="0.7" top="0.75" bottom="0.75" header="0.3" footer="0.3"/>
  <pageSetup orientation="portrait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035E8-1135-4125-AC79-F946DCBEEFD4}">
  <dimension ref="A1:R58"/>
  <sheetViews>
    <sheetView topLeftCell="A11" zoomScale="120" zoomScaleNormal="120" workbookViewId="0">
      <selection activeCell="E7" sqref="E7"/>
    </sheetView>
  </sheetViews>
  <sheetFormatPr defaultColWidth="9.140625" defaultRowHeight="11.25" x14ac:dyDescent="0.2"/>
  <cols>
    <col min="1" max="1" width="10.7109375" style="507" customWidth="1"/>
    <col min="2" max="2" width="28.140625" style="507" customWidth="1"/>
    <col min="3" max="3" width="10.5703125" style="507" customWidth="1"/>
    <col min="4" max="4" width="9.42578125" style="507" customWidth="1"/>
    <col min="5" max="5" width="9.140625" style="507"/>
    <col min="6" max="6" width="10.28515625" style="507" customWidth="1"/>
    <col min="7" max="7" width="9.28515625" style="507" customWidth="1"/>
    <col min="8" max="8" width="12.140625" style="507" customWidth="1"/>
    <col min="9" max="9" width="14.7109375" style="507" customWidth="1"/>
    <col min="10" max="10" width="14.5703125" style="507" customWidth="1"/>
    <col min="11" max="11" width="11.28515625" style="507" customWidth="1"/>
    <col min="12" max="15" width="9.140625" style="507"/>
    <col min="16" max="16" width="13" style="507" customWidth="1"/>
    <col min="17" max="16384" width="9.140625" style="507"/>
  </cols>
  <sheetData>
    <row r="1" spans="1:18" hidden="1" x14ac:dyDescent="0.2"/>
    <row r="2" spans="1:18" x14ac:dyDescent="0.2">
      <c r="A2" s="786" t="s">
        <v>0</v>
      </c>
      <c r="B2" s="786"/>
      <c r="C2" s="786"/>
      <c r="D2" s="786"/>
      <c r="E2" s="786"/>
      <c r="F2" s="786"/>
      <c r="G2" s="786"/>
      <c r="H2" s="509"/>
    </row>
    <row r="3" spans="1:18" x14ac:dyDescent="0.2">
      <c r="A3" s="787" t="s">
        <v>124</v>
      </c>
      <c r="B3" s="787"/>
      <c r="C3" s="787"/>
      <c r="D3" s="787"/>
      <c r="E3" s="787"/>
      <c r="F3" s="787"/>
      <c r="G3" s="787"/>
      <c r="H3" s="510"/>
    </row>
    <row r="4" spans="1:18" ht="12" thickBot="1" x14ac:dyDescent="0.25">
      <c r="B4" s="265" t="s">
        <v>37</v>
      </c>
      <c r="F4" s="266"/>
      <c r="I4" s="267"/>
    </row>
    <row r="5" spans="1:18" x14ac:dyDescent="0.2">
      <c r="A5" s="788" t="s">
        <v>1</v>
      </c>
      <c r="B5" s="789"/>
      <c r="C5" s="268" t="s">
        <v>2</v>
      </c>
      <c r="D5" s="268" t="s">
        <v>3</v>
      </c>
      <c r="E5" s="268" t="s">
        <v>58</v>
      </c>
      <c r="F5" s="268" t="s">
        <v>5</v>
      </c>
      <c r="G5" s="268" t="s">
        <v>6</v>
      </c>
      <c r="H5" s="269"/>
      <c r="I5" s="269"/>
    </row>
    <row r="6" spans="1:18" ht="15" x14ac:dyDescent="0.25">
      <c r="A6" s="803" t="s">
        <v>7</v>
      </c>
      <c r="B6" s="804"/>
      <c r="C6" s="270">
        <f>SUM(C7:C16)</f>
        <v>257091.04</v>
      </c>
      <c r="D6" s="271">
        <f>SUM(D7:D16)</f>
        <v>16531.84</v>
      </c>
      <c r="E6" s="271">
        <f>SUM(E7:E16)</f>
        <v>44640.090000000004</v>
      </c>
      <c r="F6" s="271">
        <f>SUM(F7:F16)</f>
        <v>228982.79</v>
      </c>
      <c r="G6" s="272">
        <f>SUM(G7:G15)</f>
        <v>0</v>
      </c>
      <c r="H6" s="273"/>
      <c r="I6" s="273"/>
      <c r="J6" s="273"/>
      <c r="K6" s="508"/>
      <c r="P6" s="508"/>
      <c r="R6" s="508"/>
    </row>
    <row r="7" spans="1:18" ht="12" customHeight="1" x14ac:dyDescent="0.2">
      <c r="A7" s="275"/>
      <c r="B7" s="276" t="s">
        <v>23</v>
      </c>
      <c r="C7" s="277">
        <f>'December 2022'!F7</f>
        <v>275438.28999999998</v>
      </c>
      <c r="D7" s="278">
        <v>241.15</v>
      </c>
      <c r="E7" s="430">
        <f>1000+73.64+3891.13+2507+81.13+5186+5636.8+22781.49</f>
        <v>41157.19</v>
      </c>
      <c r="F7" s="279">
        <f>C7+D7-E7</f>
        <v>234522.25</v>
      </c>
      <c r="G7" s="280"/>
      <c r="H7" s="281"/>
      <c r="I7" s="508"/>
    </row>
    <row r="8" spans="1:18" x14ac:dyDescent="0.2">
      <c r="A8" s="282"/>
      <c r="B8" s="283" t="s">
        <v>62</v>
      </c>
      <c r="C8" s="277">
        <f>'December 2022'!F8</f>
        <v>-20631.919999999998</v>
      </c>
      <c r="D8" s="284">
        <v>12282.67</v>
      </c>
      <c r="E8" s="284">
        <v>2005.99</v>
      </c>
      <c r="F8" s="286">
        <f t="shared" ref="F8:F15" si="0">C8+D8-E8</f>
        <v>-10355.239999999998</v>
      </c>
      <c r="G8" s="280"/>
      <c r="H8" s="273"/>
      <c r="I8" s="287"/>
    </row>
    <row r="9" spans="1:18" hidden="1" x14ac:dyDescent="0.2">
      <c r="A9" s="282"/>
      <c r="B9" s="288" t="s">
        <v>67</v>
      </c>
      <c r="C9" s="277">
        <f>'December 2022'!F9</f>
        <v>0</v>
      </c>
      <c r="D9" s="284"/>
      <c r="E9" s="284"/>
      <c r="F9" s="279">
        <f t="shared" si="0"/>
        <v>0</v>
      </c>
      <c r="G9" s="280"/>
      <c r="H9" s="273"/>
      <c r="I9" s="289"/>
      <c r="J9" s="508"/>
    </row>
    <row r="10" spans="1:18" hidden="1" x14ac:dyDescent="0.2">
      <c r="A10" s="282"/>
      <c r="B10" s="288" t="s">
        <v>41</v>
      </c>
      <c r="C10" s="277">
        <f>'December 2022'!F10</f>
        <v>-1.0000000002037268E-2</v>
      </c>
      <c r="D10" s="290"/>
      <c r="E10" s="290"/>
      <c r="F10" s="286">
        <f t="shared" si="0"/>
        <v>-1.0000000002037268E-2</v>
      </c>
      <c r="G10" s="280"/>
      <c r="H10" s="273"/>
      <c r="I10" s="291"/>
      <c r="J10" s="508"/>
    </row>
    <row r="11" spans="1:18" x14ac:dyDescent="0.2">
      <c r="A11" s="282"/>
      <c r="B11" s="288" t="s">
        <v>117</v>
      </c>
      <c r="C11" s="277">
        <f>'December 2022'!F11</f>
        <v>500</v>
      </c>
      <c r="D11" s="292"/>
      <c r="E11" s="292"/>
      <c r="F11" s="279">
        <f t="shared" si="0"/>
        <v>500</v>
      </c>
      <c r="G11" s="280"/>
      <c r="H11" s="273"/>
      <c r="I11" s="293"/>
    </row>
    <row r="12" spans="1:18" x14ac:dyDescent="0.2">
      <c r="A12" s="282"/>
      <c r="B12" s="288" t="s">
        <v>20</v>
      </c>
      <c r="C12" s="277">
        <f>'December 2022'!F12</f>
        <v>2781.8200000000011</v>
      </c>
      <c r="D12" s="294">
        <f>3683.81+63.99</f>
        <v>3747.7999999999997</v>
      </c>
      <c r="E12" s="294">
        <v>713.3</v>
      </c>
      <c r="F12" s="295">
        <f>C12+D12-E12</f>
        <v>5816.3200000000006</v>
      </c>
      <c r="G12" s="280"/>
      <c r="H12" s="273"/>
      <c r="I12" s="508"/>
    </row>
    <row r="13" spans="1:18" x14ac:dyDescent="0.2">
      <c r="A13" s="282"/>
      <c r="B13" s="288" t="s">
        <v>22</v>
      </c>
      <c r="C13" s="277">
        <f>'December 2022'!F13</f>
        <v>15.159999999999876</v>
      </c>
      <c r="D13" s="294">
        <v>260.22000000000003</v>
      </c>
      <c r="E13" s="294"/>
      <c r="F13" s="295">
        <f>C13+D13-E13</f>
        <v>275.37999999999988</v>
      </c>
      <c r="G13" s="280"/>
      <c r="H13" s="273"/>
      <c r="I13" s="508"/>
    </row>
    <row r="14" spans="1:18" x14ac:dyDescent="0.2">
      <c r="A14" s="282"/>
      <c r="B14" s="288" t="s">
        <v>28</v>
      </c>
      <c r="C14" s="277">
        <f>'December 2022'!F14</f>
        <v>-129.74000000000117</v>
      </c>
      <c r="D14" s="294"/>
      <c r="E14" s="294">
        <v>505.41</v>
      </c>
      <c r="F14" s="286">
        <f t="shared" si="0"/>
        <v>-635.15000000000123</v>
      </c>
      <c r="G14" s="280"/>
      <c r="H14" s="273"/>
      <c r="I14" s="508"/>
    </row>
    <row r="15" spans="1:18" x14ac:dyDescent="0.2">
      <c r="A15" s="282"/>
      <c r="B15" s="296" t="s">
        <v>42</v>
      </c>
      <c r="C15" s="277">
        <f>'December 2022'!F15</f>
        <v>-149.34999999999997</v>
      </c>
      <c r="D15" s="284"/>
      <c r="E15" s="284">
        <v>232.38</v>
      </c>
      <c r="F15" s="297">
        <f t="shared" si="0"/>
        <v>-381.72999999999996</v>
      </c>
      <c r="G15" s="280"/>
      <c r="H15" s="273"/>
      <c r="I15" s="508"/>
    </row>
    <row r="16" spans="1:18" x14ac:dyDescent="0.2">
      <c r="A16" s="282"/>
      <c r="B16" s="296" t="s">
        <v>43</v>
      </c>
      <c r="C16" s="277">
        <f>'December 2022'!F16</f>
        <v>-733.21000000000038</v>
      </c>
      <c r="D16" s="284"/>
      <c r="E16" s="284">
        <v>25.82</v>
      </c>
      <c r="F16" s="295">
        <f>C16+D16-E16</f>
        <v>-759.03000000000043</v>
      </c>
      <c r="G16" s="280"/>
      <c r="H16" s="273"/>
      <c r="I16" s="273"/>
      <c r="P16" s="508"/>
    </row>
    <row r="17" spans="1:16" ht="15" x14ac:dyDescent="0.25">
      <c r="A17" s="805" t="s">
        <v>53</v>
      </c>
      <c r="B17" s="806"/>
      <c r="C17" s="298">
        <f>SUM(C18:C22)</f>
        <v>-29401.710000000003</v>
      </c>
      <c r="D17" s="299">
        <f>SUM(D18:D22)</f>
        <v>8000</v>
      </c>
      <c r="E17" s="299">
        <f>SUM(E18:E22)</f>
        <v>1662.3200000000002</v>
      </c>
      <c r="F17" s="286">
        <f>SUM(F18:F22)</f>
        <v>-23064.030000000006</v>
      </c>
      <c r="G17" s="300"/>
      <c r="H17" s="273"/>
      <c r="I17" s="273"/>
      <c r="P17" s="508"/>
    </row>
    <row r="18" spans="1:16" x14ac:dyDescent="0.2">
      <c r="A18" s="301"/>
      <c r="B18" s="302" t="s">
        <v>9</v>
      </c>
      <c r="C18" s="303">
        <f>'December 2022'!F18</f>
        <v>-7834.3700000000026</v>
      </c>
      <c r="D18" s="304"/>
      <c r="E18" s="305"/>
      <c r="F18" s="306">
        <f>C18+D18-E18</f>
        <v>-7834.3700000000026</v>
      </c>
      <c r="G18" s="284"/>
      <c r="H18" s="273"/>
      <c r="I18" s="508"/>
      <c r="J18" s="79"/>
    </row>
    <row r="19" spans="1:16" x14ac:dyDescent="0.2">
      <c r="A19" s="282"/>
      <c r="B19" s="307" t="s">
        <v>8</v>
      </c>
      <c r="C19" s="303">
        <f>'December 2022'!F19</f>
        <v>-12920.75</v>
      </c>
      <c r="D19" s="294"/>
      <c r="E19" s="290">
        <v>1400.48</v>
      </c>
      <c r="F19" s="306">
        <f>C19+D19-E19</f>
        <v>-14321.23</v>
      </c>
      <c r="G19" s="505">
        <v>12934.23</v>
      </c>
      <c r="H19" s="273"/>
      <c r="I19" s="508"/>
    </row>
    <row r="20" spans="1:16" x14ac:dyDescent="0.2">
      <c r="A20" s="282"/>
      <c r="B20" s="307" t="s">
        <v>32</v>
      </c>
      <c r="C20" s="303">
        <f>'December 2022'!F20</f>
        <v>804.69999999999948</v>
      </c>
      <c r="D20" s="294"/>
      <c r="E20" s="290">
        <v>98.19</v>
      </c>
      <c r="F20" s="306">
        <f t="shared" ref="F20:F22" si="1">C20+D20-E20</f>
        <v>706.50999999999954</v>
      </c>
      <c r="G20" s="309"/>
      <c r="H20" s="273"/>
      <c r="I20" s="508"/>
    </row>
    <row r="21" spans="1:16" hidden="1" x14ac:dyDescent="0.2">
      <c r="A21" s="282"/>
      <c r="B21" s="307" t="s">
        <v>67</v>
      </c>
      <c r="C21" s="303">
        <f>'December 2022'!F21</f>
        <v>-9.0951551845463996E-15</v>
      </c>
      <c r="D21" s="294"/>
      <c r="E21" s="294"/>
      <c r="F21" s="306">
        <f t="shared" si="1"/>
        <v>-9.0951551845463996E-15</v>
      </c>
      <c r="G21" s="309"/>
      <c r="H21" s="273"/>
      <c r="I21" s="508"/>
    </row>
    <row r="22" spans="1:16" x14ac:dyDescent="0.2">
      <c r="A22" s="310"/>
      <c r="B22" s="311" t="s">
        <v>38</v>
      </c>
      <c r="C22" s="303">
        <f>'December 2022'!F22</f>
        <v>-9451.2900000000009</v>
      </c>
      <c r="D22" s="312">
        <v>8000</v>
      </c>
      <c r="E22" s="305">
        <v>163.65</v>
      </c>
      <c r="F22" s="306">
        <f t="shared" si="1"/>
        <v>-1614.940000000001</v>
      </c>
      <c r="G22" s="284"/>
      <c r="H22" s="273"/>
      <c r="I22" s="508"/>
      <c r="J22" s="79"/>
    </row>
    <row r="23" spans="1:16" x14ac:dyDescent="0.2">
      <c r="A23" s="807" t="s">
        <v>10</v>
      </c>
      <c r="B23" s="808"/>
      <c r="C23" s="298">
        <f>SUM(C24:C32)</f>
        <v>157205.47000000003</v>
      </c>
      <c r="D23" s="313">
        <f>SUM(D24:D32)</f>
        <v>0</v>
      </c>
      <c r="E23" s="314">
        <f>SUM(E24:E32)</f>
        <v>15129.08</v>
      </c>
      <c r="F23" s="314">
        <f>SUM(F24:F32)-0.08</f>
        <v>142076.31000000003</v>
      </c>
      <c r="G23" s="315">
        <f>SUM(G33:G36)</f>
        <v>87000</v>
      </c>
      <c r="H23" s="273"/>
      <c r="I23" s="273"/>
      <c r="P23" s="508"/>
    </row>
    <row r="24" spans="1:16" hidden="1" x14ac:dyDescent="0.2">
      <c r="A24" s="301"/>
      <c r="B24" s="316" t="s">
        <v>55</v>
      </c>
      <c r="C24" s="303">
        <f>'February 2021'!G24</f>
        <v>0</v>
      </c>
      <c r="D24" s="317"/>
      <c r="E24" s="304"/>
      <c r="F24" s="318">
        <f>C24+D24-E24</f>
        <v>0</v>
      </c>
      <c r="G24" s="278"/>
      <c r="H24" s="273"/>
      <c r="I24" s="508"/>
      <c r="J24" s="319"/>
    </row>
    <row r="25" spans="1:16" hidden="1" x14ac:dyDescent="0.2">
      <c r="A25" s="310"/>
      <c r="B25" s="296" t="s">
        <v>70</v>
      </c>
      <c r="C25" s="303">
        <f>'January 2022'!F25</f>
        <v>7.9999999998108251E-2</v>
      </c>
      <c r="D25" s="312"/>
      <c r="E25" s="312"/>
      <c r="F25" s="318">
        <f>C25+D25-E25</f>
        <v>7.9999999998108251E-2</v>
      </c>
      <c r="G25" s="284"/>
      <c r="H25" s="273"/>
      <c r="I25" s="508"/>
      <c r="J25" s="319"/>
    </row>
    <row r="26" spans="1:16" x14ac:dyDescent="0.2">
      <c r="A26" s="275"/>
      <c r="B26" s="320" t="s">
        <v>105</v>
      </c>
      <c r="C26" s="303">
        <f>'December 2022'!F26</f>
        <v>9876.3100000000068</v>
      </c>
      <c r="D26" s="305"/>
      <c r="E26" s="321">
        <v>3125.72</v>
      </c>
      <c r="F26" s="318">
        <f t="shared" ref="F26:F31" si="2">C26+D26-E26</f>
        <v>6750.5900000000074</v>
      </c>
      <c r="G26" s="284"/>
      <c r="H26" s="273"/>
      <c r="I26" s="508"/>
      <c r="J26" s="508"/>
    </row>
    <row r="27" spans="1:16" hidden="1" x14ac:dyDescent="0.2">
      <c r="A27" s="275"/>
      <c r="B27" s="320" t="s">
        <v>39</v>
      </c>
      <c r="C27" s="303">
        <f>'December 2022'!F27</f>
        <v>8.1854523159563541E-12</v>
      </c>
      <c r="D27" s="312"/>
      <c r="E27" s="305"/>
      <c r="F27" s="318">
        <f t="shared" si="2"/>
        <v>8.1854523159563541E-12</v>
      </c>
      <c r="G27" s="284"/>
      <c r="H27" s="273"/>
      <c r="I27" s="508"/>
      <c r="J27" s="508"/>
    </row>
    <row r="28" spans="1:16" x14ac:dyDescent="0.2">
      <c r="A28" s="275"/>
      <c r="B28" s="320" t="s">
        <v>115</v>
      </c>
      <c r="C28" s="303">
        <f>'December 2022'!F28</f>
        <v>18710</v>
      </c>
      <c r="D28" s="312"/>
      <c r="E28" s="312"/>
      <c r="F28" s="318">
        <f t="shared" si="2"/>
        <v>18710</v>
      </c>
      <c r="G28" s="284"/>
      <c r="H28" s="273"/>
      <c r="I28" s="508"/>
      <c r="J28" s="508"/>
    </row>
    <row r="29" spans="1:16" x14ac:dyDescent="0.2">
      <c r="A29" s="275"/>
      <c r="B29" s="320" t="s">
        <v>86</v>
      </c>
      <c r="C29" s="303">
        <f>'December 2022'!F29</f>
        <v>12802.199999999999</v>
      </c>
      <c r="D29" s="312"/>
      <c r="E29" s="312">
        <v>11880.04</v>
      </c>
      <c r="F29" s="318">
        <f t="shared" si="2"/>
        <v>922.15999999999804</v>
      </c>
      <c r="G29" s="284"/>
      <c r="H29" s="273"/>
      <c r="I29" s="508"/>
      <c r="J29" s="508"/>
    </row>
    <row r="30" spans="1:16" x14ac:dyDescent="0.2">
      <c r="A30" s="275"/>
      <c r="B30" s="320" t="s">
        <v>101</v>
      </c>
      <c r="C30" s="303">
        <f>'December 2022'!F30</f>
        <v>124406</v>
      </c>
      <c r="D30" s="312"/>
      <c r="E30" s="312"/>
      <c r="F30" s="318">
        <f t="shared" si="2"/>
        <v>124406</v>
      </c>
      <c r="G30" s="284"/>
      <c r="H30" s="273"/>
      <c r="I30" s="508"/>
      <c r="J30" s="508"/>
    </row>
    <row r="31" spans="1:16" x14ac:dyDescent="0.2">
      <c r="A31" s="275"/>
      <c r="B31" s="320" t="s">
        <v>119</v>
      </c>
      <c r="C31" s="303">
        <f>'December 2022'!F31</f>
        <v>0</v>
      </c>
      <c r="D31" s="312"/>
      <c r="E31" s="312"/>
      <c r="F31" s="318">
        <f t="shared" si="2"/>
        <v>0</v>
      </c>
      <c r="G31" s="284">
        <v>118184</v>
      </c>
      <c r="H31" s="273"/>
      <c r="I31" s="508"/>
      <c r="J31" s="508"/>
    </row>
    <row r="32" spans="1:16" x14ac:dyDescent="0.2">
      <c r="A32" s="275"/>
      <c r="B32" s="296" t="s">
        <v>44</v>
      </c>
      <c r="C32" s="303">
        <f>'December 2022'!F32</f>
        <v>-8589.1200000000008</v>
      </c>
      <c r="D32" s="312"/>
      <c r="E32" s="305">
        <v>123.32</v>
      </c>
      <c r="F32" s="318">
        <f>C32+D32-E32</f>
        <v>-8712.44</v>
      </c>
      <c r="G32" s="284"/>
      <c r="H32" s="273"/>
      <c r="I32" s="508"/>
      <c r="J32" s="508"/>
    </row>
    <row r="33" spans="1:16" x14ac:dyDescent="0.2">
      <c r="A33" s="809" t="s">
        <v>35</v>
      </c>
      <c r="B33" s="810"/>
      <c r="C33" s="298">
        <f>SUM(C34:C38)</f>
        <v>74041.960000000006</v>
      </c>
      <c r="D33" s="313">
        <f>SUM(D34:D37)</f>
        <v>8500</v>
      </c>
      <c r="E33" s="314">
        <f>SUM(E34:E36)</f>
        <v>1065.74</v>
      </c>
      <c r="F33" s="314">
        <f>SUM(F34:F38)</f>
        <v>81267.59</v>
      </c>
      <c r="G33" s="315">
        <f>SUM(G34:G36)</f>
        <v>43500</v>
      </c>
      <c r="H33" s="273"/>
      <c r="I33" s="273"/>
      <c r="P33" s="508"/>
    </row>
    <row r="34" spans="1:16" x14ac:dyDescent="0.2">
      <c r="A34" s="310"/>
      <c r="B34" s="296" t="s">
        <v>125</v>
      </c>
      <c r="C34" s="303">
        <f>'December 2022'!F35</f>
        <v>32685.629999999997</v>
      </c>
      <c r="D34" s="322"/>
      <c r="E34" s="323">
        <v>32.729999999999997</v>
      </c>
      <c r="F34" s="324">
        <f>C34+D34-E34</f>
        <v>32652.899999999998</v>
      </c>
      <c r="G34" s="284"/>
      <c r="H34" s="273"/>
      <c r="I34" s="508"/>
      <c r="J34" s="319"/>
    </row>
    <row r="35" spans="1:16" x14ac:dyDescent="0.2">
      <c r="A35" s="310"/>
      <c r="B35" s="296" t="s">
        <v>90</v>
      </c>
      <c r="C35" s="303">
        <f>'December 2022'!F36</f>
        <v>21019.660000000007</v>
      </c>
      <c r="D35" s="322"/>
      <c r="E35" s="323">
        <v>32.729999999999997</v>
      </c>
      <c r="F35" s="324">
        <f t="shared" ref="F35" si="3">C35+D35-E35</f>
        <v>20986.930000000008</v>
      </c>
      <c r="G35" s="284">
        <v>35000</v>
      </c>
      <c r="H35" s="273"/>
      <c r="I35" s="508"/>
      <c r="J35" s="319"/>
    </row>
    <row r="36" spans="1:16" x14ac:dyDescent="0.2">
      <c r="A36" s="310"/>
      <c r="B36" s="325" t="s">
        <v>103</v>
      </c>
      <c r="C36" s="303">
        <f>'December 2022'!F37</f>
        <v>11324.359999999997</v>
      </c>
      <c r="D36" s="322">
        <v>8500</v>
      </c>
      <c r="E36" s="305">
        <v>1000.28</v>
      </c>
      <c r="F36" s="324">
        <f>C36+D36-E36</f>
        <v>18824.079999999998</v>
      </c>
      <c r="G36" s="284">
        <v>8500</v>
      </c>
      <c r="H36" s="273"/>
      <c r="I36" s="293"/>
      <c r="J36" s="266"/>
      <c r="P36" s="326"/>
    </row>
    <row r="37" spans="1:16" x14ac:dyDescent="0.2">
      <c r="B37" s="507" t="s">
        <v>99</v>
      </c>
      <c r="C37" s="303">
        <f>'December 2022'!F38</f>
        <v>10550</v>
      </c>
      <c r="D37" s="464"/>
      <c r="F37" s="324">
        <f>C37+D37-E37</f>
        <v>10550</v>
      </c>
    </row>
    <row r="38" spans="1:16" s="667" customFormat="1" ht="12" thickBot="1" x14ac:dyDescent="0.25">
      <c r="B38" s="667" t="s">
        <v>111</v>
      </c>
      <c r="C38" s="674">
        <v>-1537.69</v>
      </c>
      <c r="D38" s="675"/>
      <c r="E38" s="667">
        <v>208.63</v>
      </c>
      <c r="F38" s="324">
        <f>C38+D38-E38</f>
        <v>-1746.3200000000002</v>
      </c>
    </row>
    <row r="39" spans="1:16" ht="12" thickBot="1" x14ac:dyDescent="0.25">
      <c r="A39" s="794" t="s">
        <v>11</v>
      </c>
      <c r="B39" s="795"/>
      <c r="C39" s="466">
        <f>C33+C23+C17+C6+677.9+369.29</f>
        <v>459983.95000000007</v>
      </c>
      <c r="D39" s="465">
        <f>SUM(D23,D17,D6,D33)</f>
        <v>33031.839999999997</v>
      </c>
      <c r="E39" s="328">
        <f>SUM(E23,E17,E6,E33)</f>
        <v>62497.23</v>
      </c>
      <c r="F39" s="329">
        <f>SUM(F23,F17,F6,F33)</f>
        <v>429262.66000000003</v>
      </c>
      <c r="G39" s="330">
        <f>SUM(G6,G16,G23,G33)</f>
        <v>130500</v>
      </c>
      <c r="H39" s="508"/>
      <c r="I39" s="508"/>
      <c r="J39" s="331"/>
    </row>
    <row r="40" spans="1:16" hidden="1" x14ac:dyDescent="0.2">
      <c r="A40" s="511"/>
      <c r="B40" s="506"/>
      <c r="C40" s="508">
        <f>SUM(C17:C22)</f>
        <v>-58803.420000000006</v>
      </c>
      <c r="D40" s="508"/>
      <c r="E40" s="508"/>
      <c r="F40" s="508"/>
      <c r="G40" s="334"/>
      <c r="H40" s="508"/>
      <c r="K40" s="507" t="s">
        <v>12</v>
      </c>
      <c r="L40" s="507">
        <v>42.43</v>
      </c>
    </row>
    <row r="41" spans="1:16" ht="12" hidden="1" thickBot="1" x14ac:dyDescent="0.25">
      <c r="A41" s="335" t="s">
        <v>25</v>
      </c>
      <c r="B41" s="336"/>
      <c r="C41" s="337" t="e">
        <f>SUM(C39,#REF!)</f>
        <v>#REF!</v>
      </c>
      <c r="D41" s="338" t="e">
        <f>SUM(D39,#REF!)</f>
        <v>#REF!</v>
      </c>
      <c r="E41" s="338" t="e">
        <f>SUM(E39,#REF!)</f>
        <v>#REF!</v>
      </c>
      <c r="F41" s="339" t="e">
        <f>SUM(F39,#REF!)</f>
        <v>#REF!</v>
      </c>
      <c r="G41" s="334"/>
      <c r="H41" s="508"/>
      <c r="I41" s="331"/>
      <c r="J41" s="79">
        <v>206730.35</v>
      </c>
    </row>
    <row r="42" spans="1:16" ht="12" thickBot="1" x14ac:dyDescent="0.25">
      <c r="B42" s="340"/>
      <c r="C42" s="508"/>
      <c r="D42" s="508"/>
      <c r="E42" s="508"/>
      <c r="F42" s="508"/>
      <c r="G42" s="334"/>
      <c r="H42" s="341"/>
      <c r="I42" s="331"/>
      <c r="J42" s="79"/>
      <c r="P42" s="508"/>
    </row>
    <row r="43" spans="1:16" ht="12" thickBot="1" x14ac:dyDescent="0.25">
      <c r="A43" s="796" t="s">
        <v>13</v>
      </c>
      <c r="B43" s="797"/>
      <c r="C43" s="342" t="s">
        <v>2</v>
      </c>
      <c r="D43" s="342" t="s">
        <v>3</v>
      </c>
      <c r="E43" s="342" t="s">
        <v>27</v>
      </c>
      <c r="F43" s="342" t="s">
        <v>5</v>
      </c>
      <c r="G43" s="269"/>
      <c r="H43" s="331"/>
      <c r="I43" s="343"/>
    </row>
    <row r="44" spans="1:16" ht="12" thickBot="1" x14ac:dyDescent="0.25">
      <c r="A44" s="784" t="s">
        <v>14</v>
      </c>
      <c r="B44" s="785"/>
      <c r="C44" s="344">
        <f>'December 2022'!F44</f>
        <v>240.58999999999997</v>
      </c>
      <c r="D44" s="345"/>
      <c r="E44" s="345">
        <v>22</v>
      </c>
      <c r="F44" s="346">
        <f>C44+D44-E44</f>
        <v>218.58999999999997</v>
      </c>
      <c r="G44" s="508"/>
      <c r="I44" s="331"/>
      <c r="J44" s="79"/>
    </row>
    <row r="45" spans="1:16" ht="12" thickBot="1" x14ac:dyDescent="0.25">
      <c r="A45" s="798" t="s">
        <v>15</v>
      </c>
      <c r="B45" s="799"/>
      <c r="C45" s="344">
        <f>'December 2022'!F45</f>
        <v>21268.28000000001</v>
      </c>
      <c r="D45" s="347">
        <v>27000</v>
      </c>
      <c r="E45" s="347">
        <v>27570.75</v>
      </c>
      <c r="F45" s="346">
        <f>C45+D45-E45</f>
        <v>20697.530000000013</v>
      </c>
      <c r="G45" s="508"/>
      <c r="H45" s="349"/>
      <c r="I45" s="331"/>
    </row>
    <row r="46" spans="1:16" ht="12" thickBot="1" x14ac:dyDescent="0.25">
      <c r="A46" s="350"/>
      <c r="B46" s="351" t="s">
        <v>21</v>
      </c>
      <c r="C46" s="344">
        <f>'December 2022'!F46</f>
        <v>0</v>
      </c>
      <c r="D46" s="352"/>
      <c r="E46" s="352"/>
      <c r="F46" s="346">
        <f t="shared" ref="F46:F48" si="4">C46+D46-E46</f>
        <v>0</v>
      </c>
      <c r="G46" s="508"/>
      <c r="H46" s="349"/>
      <c r="I46" s="79"/>
    </row>
    <row r="47" spans="1:16" ht="12" thickBot="1" x14ac:dyDescent="0.25">
      <c r="A47" s="350"/>
      <c r="B47" s="351" t="s">
        <v>40</v>
      </c>
      <c r="C47" s="344">
        <f>'December 2022'!F47</f>
        <v>-4058.630000000001</v>
      </c>
      <c r="D47" s="353">
        <v>3557.11</v>
      </c>
      <c r="E47" s="353">
        <v>5926.7</v>
      </c>
      <c r="F47" s="346">
        <f>C47+D47-E47</f>
        <v>-6428.2200000000012</v>
      </c>
      <c r="G47" s="508"/>
      <c r="H47" s="79"/>
      <c r="I47" s="79"/>
    </row>
    <row r="48" spans="1:16" ht="12" thickBot="1" x14ac:dyDescent="0.25">
      <c r="A48" s="784" t="s">
        <v>16</v>
      </c>
      <c r="B48" s="785"/>
      <c r="C48" s="344">
        <f>'December 2022'!F48</f>
        <v>215341.41000000009</v>
      </c>
      <c r="D48" s="355">
        <v>54.86</v>
      </c>
      <c r="E48" s="355">
        <v>27000</v>
      </c>
      <c r="F48" s="346">
        <f t="shared" si="4"/>
        <v>188396.27000000008</v>
      </c>
      <c r="G48" s="508"/>
      <c r="H48" s="79"/>
      <c r="I48" s="79"/>
    </row>
    <row r="49" spans="1:16" ht="12" thickBot="1" x14ac:dyDescent="0.25">
      <c r="A49" s="357" t="s">
        <v>46</v>
      </c>
      <c r="B49" s="358"/>
      <c r="C49" s="344">
        <f>'December 2022'!F49</f>
        <v>227192.39999999991</v>
      </c>
      <c r="D49" s="322">
        <v>186.29</v>
      </c>
      <c r="E49" s="322">
        <v>1000</v>
      </c>
      <c r="F49" s="346">
        <f>C49+D49-E49</f>
        <v>226378.68999999992</v>
      </c>
      <c r="G49" s="508"/>
      <c r="H49" s="79"/>
      <c r="I49" s="79"/>
    </row>
    <row r="50" spans="1:16" ht="12" thickBot="1" x14ac:dyDescent="0.25">
      <c r="A50" s="800"/>
      <c r="B50" s="795"/>
      <c r="C50" s="360">
        <f>SUM(C44+C45+C48+C49+C47+C46)</f>
        <v>459984.05</v>
      </c>
      <c r="D50" s="361">
        <f>SUM(D44:D49)</f>
        <v>30798.260000000002</v>
      </c>
      <c r="E50" s="361">
        <f>SUM(E44:E49)</f>
        <v>61519.45</v>
      </c>
      <c r="F50" s="346">
        <f>C50+D50-E50+0.04</f>
        <v>429262.89999999997</v>
      </c>
      <c r="G50" s="508"/>
      <c r="H50" s="331"/>
      <c r="I50" s="79"/>
      <c r="J50" s="266"/>
    </row>
    <row r="51" spans="1:16" x14ac:dyDescent="0.2">
      <c r="A51" s="511"/>
      <c r="B51" s="506"/>
      <c r="C51" s="508">
        <f>C39-C50</f>
        <v>-9.9999999918509275E-2</v>
      </c>
      <c r="D51" s="508"/>
      <c r="E51" s="508"/>
      <c r="F51" s="508">
        <f>F39-F50</f>
        <v>-0.23999999993247911</v>
      </c>
      <c r="H51" s="508"/>
      <c r="I51" s="331"/>
      <c r="J51" s="331"/>
      <c r="K51" s="266"/>
    </row>
    <row r="52" spans="1:16" x14ac:dyDescent="0.2">
      <c r="B52" s="340"/>
      <c r="C52" s="508"/>
      <c r="D52" s="508"/>
      <c r="E52" s="508"/>
      <c r="F52" s="508"/>
      <c r="G52" s="508"/>
      <c r="H52" s="508"/>
      <c r="I52" s="331"/>
    </row>
    <row r="53" spans="1:16" x14ac:dyDescent="0.2">
      <c r="A53" s="801" t="s">
        <v>17</v>
      </c>
      <c r="B53" s="801"/>
      <c r="C53" s="801"/>
      <c r="D53" s="801"/>
      <c r="E53" s="802" t="s">
        <v>18</v>
      </c>
      <c r="F53" s="802"/>
      <c r="G53" s="508"/>
      <c r="H53" s="508"/>
      <c r="J53" s="331"/>
    </row>
    <row r="54" spans="1:16" x14ac:dyDescent="0.2">
      <c r="C54" s="508"/>
      <c r="D54" s="508"/>
      <c r="E54" s="508"/>
      <c r="F54" s="508"/>
      <c r="G54" s="508"/>
      <c r="H54" s="508"/>
    </row>
    <row r="55" spans="1:16" x14ac:dyDescent="0.2">
      <c r="A55" s="801" t="s">
        <v>19</v>
      </c>
      <c r="B55" s="801"/>
      <c r="C55" s="801"/>
      <c r="D55" s="801"/>
      <c r="E55" s="802" t="s">
        <v>18</v>
      </c>
      <c r="F55" s="802"/>
      <c r="G55" s="508"/>
      <c r="H55" s="508"/>
    </row>
    <row r="56" spans="1:16" x14ac:dyDescent="0.2">
      <c r="A56" s="511"/>
      <c r="B56" s="506"/>
      <c r="C56" s="266"/>
      <c r="D56" s="266"/>
      <c r="E56" s="266"/>
      <c r="F56" s="79"/>
      <c r="G56" s="266"/>
      <c r="H56" s="266"/>
      <c r="I56" s="331"/>
      <c r="J56" s="79"/>
      <c r="P56" s="364"/>
    </row>
    <row r="57" spans="1:16" x14ac:dyDescent="0.2">
      <c r="B57" s="340"/>
      <c r="C57" s="331"/>
      <c r="D57" s="331"/>
      <c r="E57" s="331"/>
      <c r="F57" s="331"/>
      <c r="I57" s="331"/>
      <c r="J57" s="343"/>
      <c r="L57" s="266"/>
      <c r="P57" s="364"/>
    </row>
    <row r="58" spans="1:16" x14ac:dyDescent="0.2">
      <c r="B58" s="340"/>
      <c r="C58" s="79"/>
      <c r="D58" s="331"/>
      <c r="F58" s="331"/>
      <c r="J58" s="331"/>
    </row>
  </sheetData>
  <mergeCells count="17">
    <mergeCell ref="A50:B50"/>
    <mergeCell ref="A53:D53"/>
    <mergeCell ref="E53:F53"/>
    <mergeCell ref="A55:D55"/>
    <mergeCell ref="E55:F55"/>
    <mergeCell ref="A48:B48"/>
    <mergeCell ref="A2:G2"/>
    <mergeCell ref="A3:G3"/>
    <mergeCell ref="A5:B5"/>
    <mergeCell ref="A6:B6"/>
    <mergeCell ref="A17:B17"/>
    <mergeCell ref="A23:B23"/>
    <mergeCell ref="A33:B33"/>
    <mergeCell ref="A39:B39"/>
    <mergeCell ref="A43:B43"/>
    <mergeCell ref="A44:B44"/>
    <mergeCell ref="A45:B45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08A85-E823-4031-8E9F-ED59F5AB87FF}">
  <sheetPr>
    <pageSetUpPr fitToPage="1"/>
  </sheetPr>
  <dimension ref="A1:S52"/>
  <sheetViews>
    <sheetView topLeftCell="A2" workbookViewId="0">
      <selection activeCell="D10" sqref="D10"/>
    </sheetView>
  </sheetViews>
  <sheetFormatPr defaultColWidth="9.140625" defaultRowHeight="15" x14ac:dyDescent="0.25"/>
  <cols>
    <col min="1" max="1" width="3" customWidth="1"/>
    <col min="2" max="2" width="5.7109375" customWidth="1"/>
    <col min="3" max="3" width="33.85546875" bestFit="1" customWidth="1"/>
    <col min="4" max="4" width="13.85546875" customWidth="1"/>
    <col min="5" max="5" width="12.5703125" customWidth="1"/>
    <col min="6" max="6" width="15.28515625" customWidth="1"/>
    <col min="7" max="8" width="12.5703125" customWidth="1"/>
    <col min="9" max="9" width="30.28515625" bestFit="1" customWidth="1"/>
    <col min="10" max="10" width="15.85546875" bestFit="1" customWidth="1"/>
    <col min="11" max="11" width="14.5703125" customWidth="1"/>
    <col min="12" max="12" width="11.28515625" customWidth="1"/>
    <col min="17" max="17" width="13" customWidth="1"/>
  </cols>
  <sheetData>
    <row r="1" spans="1:19" hidden="1" x14ac:dyDescent="0.25"/>
    <row r="2" spans="1:19" ht="21" x14ac:dyDescent="0.35">
      <c r="B2" s="771" t="s">
        <v>0</v>
      </c>
      <c r="C2" s="771"/>
      <c r="D2" s="771"/>
      <c r="E2" s="771"/>
      <c r="F2" s="771"/>
      <c r="G2" s="771"/>
      <c r="H2" s="771"/>
      <c r="I2" s="129"/>
    </row>
    <row r="3" spans="1:19" ht="18.75" x14ac:dyDescent="0.3">
      <c r="B3" s="772" t="s">
        <v>57</v>
      </c>
      <c r="C3" s="772"/>
      <c r="D3" s="772"/>
      <c r="E3" s="772"/>
      <c r="F3" s="772"/>
      <c r="G3" s="772"/>
      <c r="H3" s="772"/>
      <c r="I3" s="130"/>
    </row>
    <row r="4" spans="1:19" ht="15.75" thickBot="1" x14ac:dyDescent="0.3">
      <c r="B4" s="1"/>
      <c r="C4" s="51" t="s">
        <v>37</v>
      </c>
      <c r="D4" s="1"/>
      <c r="E4" s="1"/>
      <c r="F4" s="1"/>
      <c r="G4" s="2"/>
      <c r="J4" s="88"/>
    </row>
    <row r="5" spans="1:19" x14ac:dyDescent="0.25">
      <c r="B5" s="773" t="s">
        <v>1</v>
      </c>
      <c r="C5" s="774"/>
      <c r="D5" s="24" t="s">
        <v>2</v>
      </c>
      <c r="E5" s="24" t="s">
        <v>3</v>
      </c>
      <c r="F5" s="24" t="s">
        <v>58</v>
      </c>
      <c r="G5" s="24" t="s">
        <v>5</v>
      </c>
      <c r="H5" s="24" t="s">
        <v>6</v>
      </c>
      <c r="I5" s="50"/>
      <c r="J5" s="50"/>
    </row>
    <row r="6" spans="1:19" x14ac:dyDescent="0.25">
      <c r="B6" s="775" t="s">
        <v>7</v>
      </c>
      <c r="C6" s="776"/>
      <c r="D6" s="25">
        <f>SUM(D7:D16)</f>
        <v>85883</v>
      </c>
      <c r="E6" s="62">
        <f>SUM(E7:E16)</f>
        <v>1365.31</v>
      </c>
      <c r="F6" s="62">
        <f>SUM(F7:F16)</f>
        <v>-13058.980000000001</v>
      </c>
      <c r="G6" s="62">
        <f>SUM(G7:G16)</f>
        <v>100307.29</v>
      </c>
      <c r="H6" s="63">
        <f>SUM(H7:H15)</f>
        <v>0</v>
      </c>
      <c r="I6" s="73"/>
      <c r="J6" s="73"/>
      <c r="K6" s="73"/>
      <c r="L6" s="23"/>
      <c r="Q6" s="23"/>
      <c r="S6" s="23"/>
    </row>
    <row r="7" spans="1:19" ht="15.75" customHeight="1" x14ac:dyDescent="0.25">
      <c r="B7" s="11"/>
      <c r="C7" s="22" t="s">
        <v>23</v>
      </c>
      <c r="D7" s="122">
        <f>'January 2020'!G7</f>
        <v>85962.12</v>
      </c>
      <c r="E7" s="67">
        <v>110.2</v>
      </c>
      <c r="F7" s="139">
        <f>2398.06+2127.91-22133.22+3398.06</f>
        <v>-14209.19</v>
      </c>
      <c r="G7" s="133">
        <f>D7+E7-F7</f>
        <v>100281.51</v>
      </c>
      <c r="H7" s="110"/>
      <c r="I7" s="125"/>
      <c r="J7" s="23"/>
    </row>
    <row r="8" spans="1:19" hidden="1" x14ac:dyDescent="0.25">
      <c r="B8" s="12"/>
      <c r="C8" s="52" t="s">
        <v>30</v>
      </c>
      <c r="D8" s="122">
        <f>'January 2020'!G8</f>
        <v>0</v>
      </c>
      <c r="E8" s="27"/>
      <c r="F8" s="27"/>
      <c r="G8" s="133">
        <f t="shared" ref="G8:G16" si="0">D8+E8-F8</f>
        <v>0</v>
      </c>
      <c r="H8" s="110"/>
      <c r="I8" s="73"/>
      <c r="J8" s="71" t="s">
        <v>51</v>
      </c>
      <c r="K8" t="s">
        <v>52</v>
      </c>
    </row>
    <row r="9" spans="1:19" hidden="1" x14ac:dyDescent="0.25">
      <c r="B9" s="12"/>
      <c r="C9" s="53" t="s">
        <v>31</v>
      </c>
      <c r="D9" s="122">
        <f>'January 2020'!G9</f>
        <v>0</v>
      </c>
      <c r="E9" s="27"/>
      <c r="F9" s="27"/>
      <c r="G9" s="133">
        <f t="shared" si="0"/>
        <v>0</v>
      </c>
      <c r="H9" s="110"/>
      <c r="I9" s="73"/>
      <c r="J9" s="71">
        <v>3231.47</v>
      </c>
      <c r="K9" s="23"/>
    </row>
    <row r="10" spans="1:19" x14ac:dyDescent="0.25">
      <c r="B10" s="12"/>
      <c r="C10" s="53" t="s">
        <v>41</v>
      </c>
      <c r="D10" s="122">
        <f>'January 2020'!G10</f>
        <v>-1151.5</v>
      </c>
      <c r="E10" s="132"/>
      <c r="F10" s="132">
        <v>662.66</v>
      </c>
      <c r="G10" s="138">
        <f t="shared" si="0"/>
        <v>-1814.1599999999999</v>
      </c>
      <c r="H10" s="110"/>
      <c r="I10" s="73"/>
      <c r="J10" s="93"/>
      <c r="K10" s="23"/>
    </row>
    <row r="11" spans="1:19" hidden="1" x14ac:dyDescent="0.25">
      <c r="B11" s="12"/>
      <c r="C11" s="53" t="s">
        <v>29</v>
      </c>
      <c r="D11" s="122">
        <f>'January 2020'!G11</f>
        <v>0</v>
      </c>
      <c r="E11" s="70"/>
      <c r="F11" s="70"/>
      <c r="G11" s="133">
        <f t="shared" si="0"/>
        <v>0</v>
      </c>
      <c r="H11" s="110"/>
      <c r="I11" s="73"/>
      <c r="J11" s="93"/>
    </row>
    <row r="12" spans="1:19" x14ac:dyDescent="0.25">
      <c r="B12" s="12"/>
      <c r="C12" s="53" t="s">
        <v>20</v>
      </c>
      <c r="D12" s="122">
        <f>'January 2020'!G12</f>
        <v>1365.1000000000001</v>
      </c>
      <c r="E12" s="132">
        <f>1133.11+53.68</f>
        <v>1186.79</v>
      </c>
      <c r="F12" s="132">
        <v>21.05</v>
      </c>
      <c r="G12" s="138">
        <f t="shared" si="0"/>
        <v>2530.84</v>
      </c>
      <c r="H12" s="110"/>
      <c r="I12" s="73"/>
      <c r="J12" s="23"/>
    </row>
    <row r="13" spans="1:19" x14ac:dyDescent="0.25">
      <c r="B13" s="12"/>
      <c r="C13" s="53" t="s">
        <v>22</v>
      </c>
      <c r="D13" s="122">
        <f>'January 2020'!G13</f>
        <v>101.2</v>
      </c>
      <c r="E13" s="132">
        <v>68.319999999999993</v>
      </c>
      <c r="F13" s="132"/>
      <c r="G13" s="138">
        <f t="shared" si="0"/>
        <v>169.51999999999998</v>
      </c>
      <c r="H13" s="110"/>
      <c r="I13" s="73"/>
      <c r="J13" s="23"/>
    </row>
    <row r="14" spans="1:19" x14ac:dyDescent="0.25">
      <c r="B14" s="12"/>
      <c r="C14" s="53" t="s">
        <v>28</v>
      </c>
      <c r="D14" s="122">
        <f>'January 2020'!G14</f>
        <v>-336.57000000000011</v>
      </c>
      <c r="E14" s="132"/>
      <c r="F14" s="132">
        <v>466.5</v>
      </c>
      <c r="G14" s="138">
        <f t="shared" si="0"/>
        <v>-803.07000000000016</v>
      </c>
      <c r="H14" s="110"/>
      <c r="I14" s="73"/>
      <c r="J14" s="23"/>
    </row>
    <row r="15" spans="1:19" x14ac:dyDescent="0.25">
      <c r="A15" t="s">
        <v>26</v>
      </c>
      <c r="B15" s="12"/>
      <c r="C15" s="18" t="s">
        <v>42</v>
      </c>
      <c r="D15" s="122">
        <f>'January 2020'!G15</f>
        <v>34.660000000000025</v>
      </c>
      <c r="E15" s="27"/>
      <c r="F15" s="27"/>
      <c r="G15" s="138">
        <f t="shared" si="0"/>
        <v>34.660000000000025</v>
      </c>
      <c r="H15" s="110"/>
      <c r="I15" s="73"/>
      <c r="J15" s="23"/>
    </row>
    <row r="16" spans="1:19" x14ac:dyDescent="0.25">
      <c r="B16" s="12"/>
      <c r="C16" s="18" t="s">
        <v>43</v>
      </c>
      <c r="D16" s="122">
        <f>'January 2020'!G16</f>
        <v>-92.010000000000218</v>
      </c>
      <c r="E16" s="27"/>
      <c r="F16" s="27"/>
      <c r="G16" s="138">
        <f t="shared" si="0"/>
        <v>-92.010000000000218</v>
      </c>
      <c r="H16" s="110"/>
      <c r="I16" s="73"/>
      <c r="J16" s="73"/>
      <c r="Q16" s="23"/>
    </row>
    <row r="17" spans="2:17" x14ac:dyDescent="0.25">
      <c r="B17" s="777" t="s">
        <v>53</v>
      </c>
      <c r="C17" s="778"/>
      <c r="D17" s="106">
        <f>SUM(D18:D21)</f>
        <v>-3782.59</v>
      </c>
      <c r="E17" s="107">
        <f>SUM(E18:E21)</f>
        <v>0</v>
      </c>
      <c r="F17" s="107">
        <f>SUM(F18:F21)</f>
        <v>5139.04</v>
      </c>
      <c r="G17" s="108">
        <f>SUM(G21,G20,G19,G18)</f>
        <v>-8921.630000000001</v>
      </c>
      <c r="H17" s="97"/>
      <c r="I17" s="73"/>
      <c r="J17" s="73"/>
      <c r="Q17" s="23"/>
    </row>
    <row r="18" spans="2:17" x14ac:dyDescent="0.25">
      <c r="B18" s="13"/>
      <c r="C18" s="40" t="s">
        <v>9</v>
      </c>
      <c r="D18" s="122">
        <f>'January 2020'!G18</f>
        <v>0</v>
      </c>
      <c r="E18" s="69"/>
      <c r="F18" s="68">
        <v>4227.8100000000004</v>
      </c>
      <c r="G18" s="137">
        <f>D18+E18-F18</f>
        <v>-4227.8100000000004</v>
      </c>
      <c r="H18" s="27"/>
      <c r="I18" s="73"/>
      <c r="J18" s="23"/>
      <c r="K18" s="4"/>
    </row>
    <row r="19" spans="2:17" x14ac:dyDescent="0.25">
      <c r="B19" s="12"/>
      <c r="C19" s="55" t="s">
        <v>8</v>
      </c>
      <c r="D19" s="122">
        <f>'January 2020'!G19</f>
        <v>-3157.7200000000003</v>
      </c>
      <c r="E19" s="132"/>
      <c r="F19" s="132">
        <v>512.37</v>
      </c>
      <c r="G19" s="137">
        <f>D19+E19-F19</f>
        <v>-3670.09</v>
      </c>
      <c r="H19" s="76"/>
      <c r="I19" s="73"/>
      <c r="J19" s="23"/>
    </row>
    <row r="20" spans="2:17" x14ac:dyDescent="0.25">
      <c r="B20" s="12"/>
      <c r="C20" s="55" t="s">
        <v>32</v>
      </c>
      <c r="D20" s="122">
        <f>'January 2020'!G20</f>
        <v>-292.49</v>
      </c>
      <c r="E20" s="132"/>
      <c r="F20" s="132">
        <v>146.25</v>
      </c>
      <c r="G20" s="137">
        <f t="shared" ref="G20:G21" si="1">D20+E20-F20</f>
        <v>-438.74</v>
      </c>
      <c r="H20" s="75"/>
      <c r="I20" s="73"/>
      <c r="J20" s="23"/>
    </row>
    <row r="21" spans="2:17" x14ac:dyDescent="0.25">
      <c r="B21" s="10"/>
      <c r="C21" s="41" t="s">
        <v>38</v>
      </c>
      <c r="D21" s="122">
        <f>'January 2020'!G21</f>
        <v>-332.38</v>
      </c>
      <c r="E21" s="68"/>
      <c r="F21" s="68">
        <v>252.61</v>
      </c>
      <c r="G21" s="137">
        <f t="shared" si="1"/>
        <v>-584.99</v>
      </c>
      <c r="H21" s="27"/>
      <c r="I21" s="73"/>
      <c r="J21" s="23"/>
      <c r="K21" s="4"/>
    </row>
    <row r="22" spans="2:17" x14ac:dyDescent="0.25">
      <c r="B22" s="775" t="s">
        <v>10</v>
      </c>
      <c r="C22" s="776"/>
      <c r="D22" s="106">
        <f>SUM(D23:D27)</f>
        <v>187251.27</v>
      </c>
      <c r="E22" s="111">
        <f>SUM(E23:E27)</f>
        <v>0</v>
      </c>
      <c r="F22" s="111">
        <f>SUM(F23:F27)</f>
        <v>11892</v>
      </c>
      <c r="G22" s="111">
        <f>SUM(G23:G27)</f>
        <v>175359.27</v>
      </c>
      <c r="H22" s="112">
        <f>SUM(H27:H31)</f>
        <v>0</v>
      </c>
      <c r="I22" s="73"/>
      <c r="J22" s="73"/>
      <c r="Q22" s="23"/>
    </row>
    <row r="23" spans="2:17" x14ac:dyDescent="0.25">
      <c r="B23" s="13"/>
      <c r="C23" s="37" t="s">
        <v>55</v>
      </c>
      <c r="D23" s="122">
        <f>'January 2020'!G23</f>
        <v>18710</v>
      </c>
      <c r="E23" s="69"/>
      <c r="F23" s="69"/>
      <c r="G23" s="136">
        <f>D23+E23-F23</f>
        <v>18710</v>
      </c>
      <c r="H23" s="66"/>
      <c r="I23" s="73"/>
      <c r="J23" s="23"/>
      <c r="K23" s="5"/>
    </row>
    <row r="24" spans="2:17" x14ac:dyDescent="0.25">
      <c r="B24" s="11"/>
      <c r="C24" s="19" t="s">
        <v>34</v>
      </c>
      <c r="D24" s="122">
        <f>'January 2020'!G24</f>
        <v>66291.990000000005</v>
      </c>
      <c r="E24" s="68"/>
      <c r="F24" s="68">
        <v>11892</v>
      </c>
      <c r="G24" s="136">
        <f t="shared" ref="G24:G27" si="2">D24+E24-F24</f>
        <v>54399.990000000005</v>
      </c>
      <c r="H24" s="77"/>
      <c r="I24" s="74"/>
      <c r="J24" s="23"/>
      <c r="K24" s="23"/>
    </row>
    <row r="25" spans="2:17" x14ac:dyDescent="0.25">
      <c r="B25" s="11"/>
      <c r="C25" s="19" t="s">
        <v>39</v>
      </c>
      <c r="D25" s="122">
        <f>'January 2020'!G25</f>
        <v>102500</v>
      </c>
      <c r="E25" s="68"/>
      <c r="F25" s="68"/>
      <c r="G25" s="136">
        <f t="shared" si="2"/>
        <v>102500</v>
      </c>
      <c r="H25" s="77"/>
      <c r="I25" s="74"/>
      <c r="J25" s="23"/>
      <c r="K25" s="23"/>
    </row>
    <row r="26" spans="2:17" x14ac:dyDescent="0.25">
      <c r="B26" s="11"/>
      <c r="C26" s="19" t="s">
        <v>49</v>
      </c>
      <c r="D26" s="122">
        <f>'January 2020'!G26</f>
        <v>0</v>
      </c>
      <c r="E26" s="68"/>
      <c r="F26" s="68"/>
      <c r="G26" s="69">
        <f t="shared" si="2"/>
        <v>0</v>
      </c>
      <c r="H26" s="77"/>
      <c r="I26" s="74"/>
      <c r="J26" s="23"/>
      <c r="K26" s="23"/>
    </row>
    <row r="27" spans="2:17" x14ac:dyDescent="0.25">
      <c r="B27" s="10"/>
      <c r="C27" s="18" t="s">
        <v>44</v>
      </c>
      <c r="D27" s="122">
        <f>'January 2020'!G27</f>
        <v>-250.72</v>
      </c>
      <c r="E27" s="68"/>
      <c r="F27" s="68"/>
      <c r="G27" s="136">
        <f t="shared" si="2"/>
        <v>-250.72</v>
      </c>
      <c r="H27" s="27"/>
      <c r="I27" s="73"/>
      <c r="J27" s="23"/>
      <c r="K27" s="5"/>
    </row>
    <row r="28" spans="2:17" x14ac:dyDescent="0.25">
      <c r="B28" s="775" t="s">
        <v>35</v>
      </c>
      <c r="C28" s="776"/>
      <c r="D28" s="106">
        <f>SUM(D29:D32)</f>
        <v>42546.11</v>
      </c>
      <c r="E28" s="111">
        <f>SUM(E29:E32)</f>
        <v>0</v>
      </c>
      <c r="F28" s="111">
        <f>SUM(F29:F32)</f>
        <v>0</v>
      </c>
      <c r="G28" s="111">
        <f>SUM(G29:G32)</f>
        <v>42546.11</v>
      </c>
      <c r="H28" s="112">
        <f t="shared" ref="H28" si="3">SUM(H29:H31)</f>
        <v>0</v>
      </c>
      <c r="I28" s="73"/>
      <c r="J28" s="73"/>
      <c r="Q28" s="23"/>
    </row>
    <row r="29" spans="2:17" x14ac:dyDescent="0.25">
      <c r="B29" s="10"/>
      <c r="C29" s="18" t="s">
        <v>48</v>
      </c>
      <c r="D29" s="122">
        <f>'January 2020'!G29</f>
        <v>27477.38</v>
      </c>
      <c r="E29" s="28"/>
      <c r="F29" s="113"/>
      <c r="G29" s="135">
        <f t="shared" ref="G29:G32" si="4">D29+E29-F29</f>
        <v>27477.38</v>
      </c>
      <c r="H29" s="27"/>
      <c r="I29" s="73"/>
      <c r="J29" s="23"/>
      <c r="K29" s="5"/>
    </row>
    <row r="30" spans="2:17" x14ac:dyDescent="0.25">
      <c r="B30" s="10"/>
      <c r="C30" s="20" t="s">
        <v>45</v>
      </c>
      <c r="D30" s="122">
        <f>'January 2020'!G30</f>
        <v>15068.73</v>
      </c>
      <c r="E30" s="28"/>
      <c r="F30" s="68"/>
      <c r="G30" s="135">
        <f t="shared" si="4"/>
        <v>15068.73</v>
      </c>
      <c r="H30" s="27"/>
      <c r="I30" s="73"/>
      <c r="J30" s="93"/>
      <c r="K30" s="3"/>
      <c r="Q30" s="148"/>
    </row>
    <row r="31" spans="2:17" x14ac:dyDescent="0.25">
      <c r="B31" s="10"/>
      <c r="C31" s="21" t="s">
        <v>33</v>
      </c>
      <c r="D31" s="122">
        <f>'January 2020'!G31</f>
        <v>0</v>
      </c>
      <c r="E31" s="28"/>
      <c r="F31" s="68"/>
      <c r="G31" s="134">
        <f t="shared" si="4"/>
        <v>0</v>
      </c>
      <c r="H31" s="27"/>
      <c r="I31" s="73"/>
      <c r="J31" s="23"/>
      <c r="K31" s="4"/>
      <c r="Q31" s="149"/>
    </row>
    <row r="32" spans="2:17" ht="15.75" thickBot="1" x14ac:dyDescent="0.3">
      <c r="C32" s="104" t="s">
        <v>47</v>
      </c>
      <c r="D32" s="122">
        <f>'January 2020'!G32</f>
        <v>0</v>
      </c>
      <c r="E32" s="28"/>
      <c r="F32" s="68"/>
      <c r="G32" s="68">
        <f t="shared" si="4"/>
        <v>0</v>
      </c>
      <c r="H32" s="27"/>
      <c r="I32" s="73"/>
      <c r="J32" s="23"/>
      <c r="K32" s="4"/>
      <c r="Q32" s="149"/>
    </row>
    <row r="33" spans="2:17" ht="15.75" thickBot="1" x14ac:dyDescent="0.3">
      <c r="B33" s="779" t="s">
        <v>11</v>
      </c>
      <c r="C33" s="766"/>
      <c r="D33" s="38">
        <f>D6+D17+D22+D28</f>
        <v>311897.78999999998</v>
      </c>
      <c r="E33" s="47">
        <f>SUM(E22,E17,E6,E28)</f>
        <v>1365.31</v>
      </c>
      <c r="F33" s="43">
        <f>SUM(F22,F17,F6,F28)</f>
        <v>3972.0599999999995</v>
      </c>
      <c r="G33" s="44">
        <f>SUM(G22,G17,G6,G28)</f>
        <v>309291.03999999998</v>
      </c>
      <c r="H33" s="78">
        <f>SUM(H6,H16,H22,H28)</f>
        <v>0</v>
      </c>
      <c r="I33" s="23"/>
      <c r="J33" s="23"/>
      <c r="K33" s="6"/>
    </row>
    <row r="34" spans="2:17" hidden="1" x14ac:dyDescent="0.25">
      <c r="B34" s="131"/>
      <c r="C34" s="128"/>
      <c r="D34" s="23">
        <f>SUM(D17:D21)</f>
        <v>-7565.18</v>
      </c>
      <c r="E34" s="23"/>
      <c r="F34" s="23"/>
      <c r="G34" s="23"/>
      <c r="H34" s="49"/>
      <c r="I34" s="23"/>
      <c r="L34" t="s">
        <v>12</v>
      </c>
      <c r="M34">
        <v>42.43</v>
      </c>
    </row>
    <row r="35" spans="2:17" ht="15.75" hidden="1" thickBot="1" x14ac:dyDescent="0.3">
      <c r="B35" s="9" t="s">
        <v>25</v>
      </c>
      <c r="C35" s="15"/>
      <c r="D35" s="33" t="e">
        <f>SUM(D33,#REF!)</f>
        <v>#REF!</v>
      </c>
      <c r="E35" s="34" t="e">
        <f>SUM(E33,#REF!)</f>
        <v>#REF!</v>
      </c>
      <c r="F35" s="34" t="e">
        <f>SUM(F33,#REF!)</f>
        <v>#REF!</v>
      </c>
      <c r="G35" s="35" t="e">
        <f>SUM(G33,#REF!)</f>
        <v>#REF!</v>
      </c>
      <c r="H35" s="49"/>
      <c r="I35" s="23"/>
      <c r="J35" s="6"/>
      <c r="K35" s="4">
        <v>206730.35</v>
      </c>
    </row>
    <row r="36" spans="2:17" ht="15.75" thickBot="1" x14ac:dyDescent="0.3">
      <c r="C36" s="7"/>
      <c r="D36" s="23"/>
      <c r="E36" s="23"/>
      <c r="F36" s="23"/>
      <c r="G36" s="23"/>
      <c r="H36" s="49"/>
      <c r="I36" s="64"/>
      <c r="J36" s="6"/>
      <c r="K36" s="4"/>
      <c r="Q36" s="23"/>
    </row>
    <row r="37" spans="2:17" ht="15.75" thickBot="1" x14ac:dyDescent="0.3">
      <c r="B37" s="780" t="s">
        <v>13</v>
      </c>
      <c r="C37" s="781"/>
      <c r="D37" s="31" t="s">
        <v>2</v>
      </c>
      <c r="E37" s="31" t="s">
        <v>3</v>
      </c>
      <c r="F37" s="31" t="s">
        <v>24</v>
      </c>
      <c r="G37" s="31" t="s">
        <v>27</v>
      </c>
      <c r="H37" s="31" t="s">
        <v>5</v>
      </c>
      <c r="I37" s="50"/>
      <c r="J37" s="6"/>
      <c r="K37" s="8"/>
    </row>
    <row r="38" spans="2:17" ht="15.75" thickBot="1" x14ac:dyDescent="0.3">
      <c r="B38" s="769" t="s">
        <v>14</v>
      </c>
      <c r="C38" s="770"/>
      <c r="D38" s="32">
        <f>'January 2020'!H38</f>
        <v>102.81</v>
      </c>
      <c r="E38" s="57"/>
      <c r="F38" s="57"/>
      <c r="G38" s="57"/>
      <c r="H38" s="114">
        <f t="shared" ref="H38:H40" si="5">D38+E38+F38-G38</f>
        <v>102.81</v>
      </c>
      <c r="I38" s="23"/>
      <c r="K38" s="6"/>
      <c r="L38" s="4"/>
    </row>
    <row r="39" spans="2:17" ht="15.75" thickBot="1" x14ac:dyDescent="0.3">
      <c r="B39" s="782" t="s">
        <v>15</v>
      </c>
      <c r="C39" s="783"/>
      <c r="D39" s="32">
        <f>'January 2020'!H39</f>
        <v>7272.5900000000111</v>
      </c>
      <c r="E39" s="59"/>
      <c r="F39" s="59">
        <v>17000</v>
      </c>
      <c r="G39" s="59">
        <f>17197.49+5743.78</f>
        <v>22941.27</v>
      </c>
      <c r="H39" s="115">
        <f>D39+E39+F39-G39</f>
        <v>1331.3200000000106</v>
      </c>
      <c r="I39" s="23"/>
      <c r="J39" s="65"/>
      <c r="K39" s="6"/>
    </row>
    <row r="40" spans="2:17" ht="15.75" thickBot="1" x14ac:dyDescent="0.3">
      <c r="B40" s="14"/>
      <c r="C40" s="16" t="s">
        <v>21</v>
      </c>
      <c r="D40" s="32">
        <f>'January 2020'!H40</f>
        <v>0</v>
      </c>
      <c r="E40" s="56"/>
      <c r="F40" s="56"/>
      <c r="G40" s="56"/>
      <c r="H40" s="56">
        <f t="shared" si="5"/>
        <v>0</v>
      </c>
      <c r="I40" s="23"/>
      <c r="J40" s="65"/>
      <c r="K40" s="4"/>
    </row>
    <row r="41" spans="2:17" ht="15.75" thickBot="1" x14ac:dyDescent="0.3">
      <c r="B41" s="14"/>
      <c r="C41" s="16" t="s">
        <v>40</v>
      </c>
      <c r="D41" s="32">
        <f>'January 2020'!H41</f>
        <v>-7249.9100000000008</v>
      </c>
      <c r="E41" s="56">
        <f>7396.76-374.22</f>
        <v>7022.54</v>
      </c>
      <c r="F41" s="56"/>
      <c r="G41" s="56">
        <v>75.17</v>
      </c>
      <c r="H41" s="60">
        <f>D41+E41+F41-G41</f>
        <v>-302.54000000000082</v>
      </c>
      <c r="I41" s="23"/>
      <c r="J41" s="4"/>
      <c r="K41" s="4"/>
    </row>
    <row r="42" spans="2:17" ht="15.75" thickBot="1" x14ac:dyDescent="0.3">
      <c r="B42" s="769" t="s">
        <v>16</v>
      </c>
      <c r="C42" s="770"/>
      <c r="D42" s="32">
        <f>'January 2020'!H42</f>
        <v>151966.33000000007</v>
      </c>
      <c r="E42" s="61">
        <v>14340.16</v>
      </c>
      <c r="F42" s="61"/>
      <c r="G42" s="61">
        <v>17000</v>
      </c>
      <c r="H42" s="116">
        <f>D42+E42-F42-G42</f>
        <v>149306.49000000008</v>
      </c>
      <c r="I42" s="23"/>
      <c r="J42" s="4"/>
      <c r="K42" s="4"/>
    </row>
    <row r="43" spans="2:17" ht="15.75" thickBot="1" x14ac:dyDescent="0.3">
      <c r="B43" s="80" t="s">
        <v>46</v>
      </c>
      <c r="C43" s="81"/>
      <c r="D43" s="32">
        <f>'January 2020'!H43</f>
        <v>159805.96</v>
      </c>
      <c r="E43" s="28">
        <v>47.01</v>
      </c>
      <c r="F43" s="28"/>
      <c r="G43" s="28">
        <v>1000</v>
      </c>
      <c r="H43" s="117">
        <f>D43+E43+F43-G43</f>
        <v>158852.97</v>
      </c>
      <c r="I43" s="23"/>
      <c r="J43" s="4"/>
      <c r="K43" s="4"/>
    </row>
    <row r="44" spans="2:17" ht="15.75" thickBot="1" x14ac:dyDescent="0.3">
      <c r="B44" s="765"/>
      <c r="C44" s="766"/>
      <c r="D44" s="29">
        <f>SUM(D38+D39+D42+D43+D41)</f>
        <v>311897.78000000009</v>
      </c>
      <c r="E44" s="46">
        <f>SUM(E38:E43)</f>
        <v>21409.71</v>
      </c>
      <c r="F44" s="30">
        <f>SUM(F39:F43)</f>
        <v>17000</v>
      </c>
      <c r="G44" s="42">
        <f>SUM(G38:G43)</f>
        <v>41016.44</v>
      </c>
      <c r="H44" s="45">
        <f>SUM(H38+H39+H42+H40+H43+H41)</f>
        <v>309291.0500000001</v>
      </c>
      <c r="I44" s="23"/>
      <c r="J44" s="6"/>
      <c r="K44" s="4"/>
      <c r="L44" s="3"/>
    </row>
    <row r="45" spans="2:17" x14ac:dyDescent="0.25">
      <c r="B45" s="131"/>
      <c r="C45" s="128"/>
      <c r="D45" s="23">
        <f>D33-D44</f>
        <v>9.9999998928979039E-3</v>
      </c>
      <c r="E45" s="23"/>
      <c r="F45" s="23"/>
      <c r="G45" s="23"/>
      <c r="H45" s="23">
        <f>G33-H44</f>
        <v>-1.0000000125728548E-2</v>
      </c>
      <c r="I45" s="23"/>
      <c r="J45" s="6"/>
      <c r="K45" s="6"/>
      <c r="L45" s="3"/>
    </row>
    <row r="46" spans="2:17" x14ac:dyDescent="0.25">
      <c r="C46" s="7"/>
      <c r="D46" s="23"/>
      <c r="E46" s="23"/>
      <c r="F46" s="23"/>
      <c r="G46" s="23"/>
      <c r="H46" s="23"/>
      <c r="I46" s="23"/>
      <c r="J46" s="6"/>
    </row>
    <row r="47" spans="2:17" ht="15.75" x14ac:dyDescent="0.25">
      <c r="B47" s="767" t="s">
        <v>17</v>
      </c>
      <c r="C47" s="767"/>
      <c r="D47" s="767"/>
      <c r="E47" s="767"/>
      <c r="F47" s="768" t="s">
        <v>18</v>
      </c>
      <c r="G47" s="768"/>
      <c r="H47" s="23"/>
      <c r="I47" s="23"/>
      <c r="K47" s="6"/>
    </row>
    <row r="48" spans="2:17" ht="15.75" x14ac:dyDescent="0.25">
      <c r="B48" s="126"/>
      <c r="C48" s="126"/>
      <c r="D48" s="127"/>
      <c r="E48" s="127"/>
      <c r="F48" s="127"/>
      <c r="G48" s="127"/>
      <c r="H48" s="23"/>
      <c r="I48" s="23"/>
    </row>
    <row r="49" spans="2:17" ht="15.75" x14ac:dyDescent="0.25">
      <c r="B49" s="767" t="s">
        <v>19</v>
      </c>
      <c r="C49" s="767"/>
      <c r="D49" s="767"/>
      <c r="E49" s="767"/>
      <c r="F49" s="768" t="s">
        <v>18</v>
      </c>
      <c r="G49" s="768"/>
      <c r="H49" s="23"/>
      <c r="I49" s="23"/>
    </row>
    <row r="50" spans="2:17" x14ac:dyDescent="0.25">
      <c r="B50" s="131"/>
      <c r="C50" s="128"/>
      <c r="D50" s="3"/>
      <c r="E50" s="3"/>
      <c r="F50" s="3"/>
      <c r="G50" s="4"/>
      <c r="H50" s="3"/>
      <c r="I50" s="3"/>
      <c r="J50" s="6"/>
      <c r="K50" s="4"/>
      <c r="Q50" s="17"/>
    </row>
    <row r="51" spans="2:17" x14ac:dyDescent="0.25">
      <c r="C51" s="7"/>
      <c r="D51" s="6"/>
      <c r="E51" s="6"/>
      <c r="F51" s="6"/>
      <c r="G51" s="6"/>
      <c r="J51" s="6"/>
      <c r="K51" s="8"/>
      <c r="M51" s="3"/>
      <c r="Q51" s="17"/>
    </row>
    <row r="52" spans="2:17" x14ac:dyDescent="0.25">
      <c r="C52" s="7"/>
      <c r="D52" s="4"/>
      <c r="E52" s="6"/>
      <c r="G52" s="6"/>
      <c r="K52" s="6"/>
    </row>
  </sheetData>
  <mergeCells count="17">
    <mergeCell ref="B44:C44"/>
    <mergeCell ref="B47:E47"/>
    <mergeCell ref="F47:G47"/>
    <mergeCell ref="B49:E49"/>
    <mergeCell ref="F49:G49"/>
    <mergeCell ref="B42:C42"/>
    <mergeCell ref="B2:H2"/>
    <mergeCell ref="B3:H3"/>
    <mergeCell ref="B5:C5"/>
    <mergeCell ref="B6:C6"/>
    <mergeCell ref="B17:C17"/>
    <mergeCell ref="B22:C22"/>
    <mergeCell ref="B28:C28"/>
    <mergeCell ref="B33:C33"/>
    <mergeCell ref="B37:C37"/>
    <mergeCell ref="B38:C38"/>
    <mergeCell ref="B39:C39"/>
  </mergeCells>
  <pageMargins left="0.7" right="0.7" top="0.75" bottom="0.75" header="0.3" footer="0.3"/>
  <pageSetup scale="82" orientation="portrait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DCC11-6FCE-4CD0-BBC4-B4402B4EC739}">
  <sheetPr>
    <pageSetUpPr fitToPage="1"/>
  </sheetPr>
  <dimension ref="A1:R58"/>
  <sheetViews>
    <sheetView topLeftCell="A14" zoomScale="120" zoomScaleNormal="120" workbookViewId="0">
      <selection activeCell="E7" sqref="E7"/>
    </sheetView>
  </sheetViews>
  <sheetFormatPr defaultColWidth="9.140625" defaultRowHeight="11.25" x14ac:dyDescent="0.2"/>
  <cols>
    <col min="1" max="1" width="10.7109375" style="513" customWidth="1"/>
    <col min="2" max="2" width="23.140625" style="513" customWidth="1"/>
    <col min="3" max="3" width="10" style="513" customWidth="1"/>
    <col min="4" max="4" width="8.85546875" style="513" customWidth="1"/>
    <col min="5" max="5" width="8.7109375" style="513" customWidth="1"/>
    <col min="6" max="6" width="10.28515625" style="513" customWidth="1"/>
    <col min="7" max="7" width="8.85546875" style="513" customWidth="1"/>
    <col min="8" max="8" width="12.140625" style="513" customWidth="1"/>
    <col min="9" max="9" width="14.7109375" style="513" customWidth="1"/>
    <col min="10" max="10" width="14.5703125" style="513" customWidth="1"/>
    <col min="11" max="11" width="11.28515625" style="513" customWidth="1"/>
    <col min="12" max="15" width="9.140625" style="513"/>
    <col min="16" max="16" width="13" style="513" customWidth="1"/>
    <col min="17" max="16384" width="9.140625" style="513"/>
  </cols>
  <sheetData>
    <row r="1" spans="1:18" hidden="1" x14ac:dyDescent="0.2"/>
    <row r="2" spans="1:18" x14ac:dyDescent="0.2">
      <c r="A2" s="786" t="s">
        <v>0</v>
      </c>
      <c r="B2" s="786"/>
      <c r="C2" s="786"/>
      <c r="D2" s="786"/>
      <c r="E2" s="786"/>
      <c r="F2" s="786"/>
      <c r="G2" s="786"/>
      <c r="H2" s="515"/>
    </row>
    <row r="3" spans="1:18" x14ac:dyDescent="0.2">
      <c r="A3" s="787" t="s">
        <v>126</v>
      </c>
      <c r="B3" s="787"/>
      <c r="C3" s="787"/>
      <c r="D3" s="787"/>
      <c r="E3" s="787"/>
      <c r="F3" s="787"/>
      <c r="G3" s="787"/>
      <c r="H3" s="516"/>
    </row>
    <row r="4" spans="1:18" ht="12" thickBot="1" x14ac:dyDescent="0.25">
      <c r="B4" s="265" t="s">
        <v>37</v>
      </c>
      <c r="F4" s="266"/>
      <c r="I4" s="267"/>
    </row>
    <row r="5" spans="1:18" x14ac:dyDescent="0.2">
      <c r="A5" s="788" t="s">
        <v>1</v>
      </c>
      <c r="B5" s="789"/>
      <c r="C5" s="268" t="s">
        <v>2</v>
      </c>
      <c r="D5" s="268" t="s">
        <v>3</v>
      </c>
      <c r="E5" s="268" t="s">
        <v>58</v>
      </c>
      <c r="F5" s="268" t="s">
        <v>5</v>
      </c>
      <c r="G5" s="268" t="s">
        <v>6</v>
      </c>
      <c r="H5" s="269"/>
      <c r="I5" s="269"/>
    </row>
    <row r="6" spans="1:18" ht="15" x14ac:dyDescent="0.25">
      <c r="A6" s="803" t="s">
        <v>7</v>
      </c>
      <c r="B6" s="804"/>
      <c r="C6" s="270">
        <f>SUM(C7:C16)</f>
        <v>228982.79</v>
      </c>
      <c r="D6" s="271">
        <f>SUM(D7:D16)</f>
        <v>11185.23</v>
      </c>
      <c r="E6" s="271">
        <f>SUM(E7:E16)</f>
        <v>-11591.88</v>
      </c>
      <c r="F6" s="271">
        <f>SUM(F7:F16)</f>
        <v>251759.89999999997</v>
      </c>
      <c r="G6" s="272">
        <f>SUM(G7:G15)</f>
        <v>0</v>
      </c>
      <c r="H6" s="273"/>
      <c r="I6" s="273"/>
      <c r="J6" s="273"/>
      <c r="K6" s="514"/>
      <c r="P6" s="514"/>
      <c r="R6" s="514"/>
    </row>
    <row r="7" spans="1:18" ht="12" customHeight="1" x14ac:dyDescent="0.2">
      <c r="A7" s="275"/>
      <c r="B7" s="276" t="s">
        <v>23</v>
      </c>
      <c r="C7" s="277">
        <f>'January 2023'!F7</f>
        <v>234522.25</v>
      </c>
      <c r="D7" s="278">
        <v>226.94</v>
      </c>
      <c r="E7" s="430">
        <f>1000+7834.36+248+1578-26948.11+1451.29</f>
        <v>-14836.46</v>
      </c>
      <c r="F7" s="279">
        <f>C7+D7-E7</f>
        <v>249585.65</v>
      </c>
      <c r="G7" s="280"/>
      <c r="H7" s="281"/>
      <c r="I7" s="514"/>
    </row>
    <row r="8" spans="1:18" x14ac:dyDescent="0.2">
      <c r="A8" s="282"/>
      <c r="B8" s="283" t="s">
        <v>62</v>
      </c>
      <c r="C8" s="277">
        <f>'January 2023'!F8</f>
        <v>-10355.239999999998</v>
      </c>
      <c r="D8" s="284">
        <v>8151.89</v>
      </c>
      <c r="E8" s="284">
        <v>2855.15</v>
      </c>
      <c r="F8" s="286">
        <f t="shared" ref="F8:F15" si="0">C8+D8-E8</f>
        <v>-5058.4999999999982</v>
      </c>
      <c r="G8" s="280"/>
      <c r="H8" s="273"/>
      <c r="I8" s="287"/>
    </row>
    <row r="9" spans="1:18" hidden="1" x14ac:dyDescent="0.2">
      <c r="A9" s="282"/>
      <c r="B9" s="288" t="s">
        <v>67</v>
      </c>
      <c r="C9" s="277">
        <f>'January 2023'!F9</f>
        <v>0</v>
      </c>
      <c r="D9" s="284"/>
      <c r="E9" s="284"/>
      <c r="F9" s="279">
        <f t="shared" si="0"/>
        <v>0</v>
      </c>
      <c r="G9" s="280"/>
      <c r="H9" s="273"/>
      <c r="I9" s="289"/>
      <c r="J9" s="514"/>
    </row>
    <row r="10" spans="1:18" hidden="1" x14ac:dyDescent="0.2">
      <c r="A10" s="282"/>
      <c r="B10" s="288" t="s">
        <v>41</v>
      </c>
      <c r="C10" s="277">
        <f>'January 2023'!F10</f>
        <v>-1.0000000002037268E-2</v>
      </c>
      <c r="D10" s="290"/>
      <c r="E10" s="290"/>
      <c r="F10" s="286">
        <f t="shared" si="0"/>
        <v>-1.0000000002037268E-2</v>
      </c>
      <c r="G10" s="280"/>
      <c r="H10" s="273"/>
      <c r="I10" s="291"/>
      <c r="J10" s="514"/>
    </row>
    <row r="11" spans="1:18" x14ac:dyDescent="0.2">
      <c r="A11" s="282"/>
      <c r="B11" s="288" t="s">
        <v>117</v>
      </c>
      <c r="C11" s="277">
        <f>'January 2023'!F11</f>
        <v>500</v>
      </c>
      <c r="D11" s="292"/>
      <c r="E11" s="292"/>
      <c r="F11" s="279">
        <f t="shared" si="0"/>
        <v>500</v>
      </c>
      <c r="G11" s="280"/>
      <c r="H11" s="273"/>
      <c r="I11" s="293"/>
    </row>
    <row r="12" spans="1:18" x14ac:dyDescent="0.2">
      <c r="A12" s="282"/>
      <c r="B12" s="288" t="s">
        <v>20</v>
      </c>
      <c r="C12" s="277">
        <f>'January 2023'!F12</f>
        <v>5816.3200000000006</v>
      </c>
      <c r="D12" s="294">
        <f>2560.02+63.99</f>
        <v>2624.0099999999998</v>
      </c>
      <c r="E12" s="294">
        <f>52.92+316.51</f>
        <v>369.43</v>
      </c>
      <c r="F12" s="295">
        <f>C12+D12-E12</f>
        <v>8070.9</v>
      </c>
      <c r="G12" s="280"/>
      <c r="H12" s="273"/>
      <c r="I12" s="514"/>
    </row>
    <row r="13" spans="1:18" x14ac:dyDescent="0.2">
      <c r="A13" s="282"/>
      <c r="B13" s="288" t="s">
        <v>22</v>
      </c>
      <c r="C13" s="277">
        <f>'January 2023'!F13</f>
        <v>275.37999999999988</v>
      </c>
      <c r="D13" s="294">
        <v>182.39</v>
      </c>
      <c r="E13" s="294">
        <v>20</v>
      </c>
      <c r="F13" s="295">
        <f>C13+D13-E13</f>
        <v>437.76999999999987</v>
      </c>
      <c r="G13" s="280"/>
      <c r="H13" s="273"/>
      <c r="I13" s="514"/>
    </row>
    <row r="14" spans="1:18" x14ac:dyDescent="0.2">
      <c r="A14" s="282"/>
      <c r="B14" s="288" t="s">
        <v>28</v>
      </c>
      <c r="C14" s="277">
        <f>'January 2023'!F14</f>
        <v>-635.15000000000123</v>
      </c>
      <c r="D14" s="294"/>
      <c r="E14" s="294"/>
      <c r="F14" s="286">
        <f t="shared" si="0"/>
        <v>-635.15000000000123</v>
      </c>
      <c r="G14" s="280"/>
      <c r="H14" s="273"/>
      <c r="I14" s="514"/>
    </row>
    <row r="15" spans="1:18" x14ac:dyDescent="0.2">
      <c r="A15" s="282"/>
      <c r="B15" s="296" t="s">
        <v>42</v>
      </c>
      <c r="C15" s="277">
        <f>'January 2023'!F15</f>
        <v>-381.72999999999996</v>
      </c>
      <c r="D15" s="284"/>
      <c r="E15" s="284"/>
      <c r="F15" s="297">
        <f t="shared" si="0"/>
        <v>-381.72999999999996</v>
      </c>
      <c r="G15" s="280"/>
      <c r="H15" s="273"/>
      <c r="I15" s="514"/>
    </row>
    <row r="16" spans="1:18" x14ac:dyDescent="0.2">
      <c r="A16" s="282"/>
      <c r="B16" s="296" t="s">
        <v>43</v>
      </c>
      <c r="C16" s="277">
        <f>'January 2023'!F16</f>
        <v>-759.03000000000043</v>
      </c>
      <c r="D16" s="284"/>
      <c r="E16" s="284"/>
      <c r="F16" s="295">
        <f>C16+D16-E16</f>
        <v>-759.03000000000043</v>
      </c>
      <c r="G16" s="280"/>
      <c r="H16" s="273"/>
      <c r="I16" s="273"/>
      <c r="P16" s="514"/>
    </row>
    <row r="17" spans="1:16" ht="15" x14ac:dyDescent="0.25">
      <c r="A17" s="805" t="s">
        <v>53</v>
      </c>
      <c r="B17" s="806"/>
      <c r="C17" s="298">
        <f>SUM(C18:C22)</f>
        <v>-23064.030000000006</v>
      </c>
      <c r="D17" s="299">
        <f>SUM(D18:D22)</f>
        <v>22219.88</v>
      </c>
      <c r="E17" s="299">
        <f>SUM(E18:E22)</f>
        <v>1181.3400000000001</v>
      </c>
      <c r="F17" s="286">
        <f>SUM(F18:F22)</f>
        <v>-2025.4900000000043</v>
      </c>
      <c r="G17" s="300"/>
      <c r="H17" s="273"/>
      <c r="I17" s="273"/>
      <c r="P17" s="514"/>
    </row>
    <row r="18" spans="1:16" x14ac:dyDescent="0.2">
      <c r="A18" s="301"/>
      <c r="B18" s="302" t="s">
        <v>9</v>
      </c>
      <c r="C18" s="303">
        <f>'January 2023'!F18</f>
        <v>-7834.3700000000026</v>
      </c>
      <c r="D18" s="304">
        <v>7834.36</v>
      </c>
      <c r="E18" s="305"/>
      <c r="F18" s="306">
        <f>C18+D18-E18</f>
        <v>-1.0000000002946763E-2</v>
      </c>
      <c r="G18" s="284"/>
      <c r="H18" s="273" t="s">
        <v>128</v>
      </c>
      <c r="I18" s="514"/>
      <c r="J18" s="79"/>
    </row>
    <row r="19" spans="1:16" x14ac:dyDescent="0.2">
      <c r="A19" s="282"/>
      <c r="B19" s="307" t="s">
        <v>8</v>
      </c>
      <c r="C19" s="303">
        <f>'January 2023'!F19</f>
        <v>-14321.23</v>
      </c>
      <c r="D19" s="294">
        <v>12934.23</v>
      </c>
      <c r="E19" s="290">
        <v>379.45</v>
      </c>
      <c r="F19" s="306">
        <f>C19+D19-E19</f>
        <v>-1766.45</v>
      </c>
      <c r="G19" s="505"/>
      <c r="H19" s="273"/>
      <c r="I19" s="514"/>
    </row>
    <row r="20" spans="1:16" x14ac:dyDescent="0.2">
      <c r="A20" s="282"/>
      <c r="B20" s="307" t="s">
        <v>32</v>
      </c>
      <c r="C20" s="303">
        <f>'January 2023'!F20</f>
        <v>706.50999999999954</v>
      </c>
      <c r="D20" s="294"/>
      <c r="E20" s="290">
        <v>392.76</v>
      </c>
      <c r="F20" s="306">
        <f t="shared" ref="F20:F22" si="1">C20+D20-E20</f>
        <v>313.74999999999955</v>
      </c>
      <c r="G20" s="309"/>
      <c r="H20" s="273"/>
      <c r="I20" s="514"/>
    </row>
    <row r="21" spans="1:16" hidden="1" x14ac:dyDescent="0.2">
      <c r="A21" s="282"/>
      <c r="B21" s="307" t="s">
        <v>67</v>
      </c>
      <c r="C21" s="303">
        <f>'January 2023'!F21</f>
        <v>-9.0951551845463996E-15</v>
      </c>
      <c r="D21" s="294"/>
      <c r="E21" s="294"/>
      <c r="F21" s="306">
        <f t="shared" si="1"/>
        <v>-9.0951551845463996E-15</v>
      </c>
      <c r="G21" s="309"/>
      <c r="H21" s="273"/>
      <c r="I21" s="514"/>
    </row>
    <row r="22" spans="1:16" x14ac:dyDescent="0.2">
      <c r="A22" s="310"/>
      <c r="B22" s="311" t="s">
        <v>38</v>
      </c>
      <c r="C22" s="303">
        <f>'January 2023'!F22</f>
        <v>-1614.940000000001</v>
      </c>
      <c r="D22" s="312">
        <v>1451.29</v>
      </c>
      <c r="E22" s="305">
        <v>409.13</v>
      </c>
      <c r="F22" s="306">
        <f t="shared" si="1"/>
        <v>-572.780000000001</v>
      </c>
      <c r="G22" s="284"/>
      <c r="H22" s="273" t="s">
        <v>129</v>
      </c>
      <c r="I22" s="514"/>
      <c r="J22" s="79"/>
    </row>
    <row r="23" spans="1:16" x14ac:dyDescent="0.2">
      <c r="A23" s="807" t="s">
        <v>10</v>
      </c>
      <c r="B23" s="808"/>
      <c r="C23" s="298">
        <f>SUM(C24:C32)</f>
        <v>142076.39000000001</v>
      </c>
      <c r="D23" s="313">
        <f>SUM(D24:D32)</f>
        <v>0</v>
      </c>
      <c r="E23" s="314">
        <f>SUM(E24:E32)</f>
        <v>19361.63</v>
      </c>
      <c r="F23" s="314">
        <f>SUM(F24:F32)-0.08</f>
        <v>122714.68000000001</v>
      </c>
      <c r="G23" s="315">
        <f>SUM(G33:G36)</f>
        <v>87000</v>
      </c>
      <c r="H23" s="273"/>
      <c r="I23" s="273"/>
      <c r="P23" s="514"/>
    </row>
    <row r="24" spans="1:16" hidden="1" x14ac:dyDescent="0.2">
      <c r="A24" s="301"/>
      <c r="B24" s="316" t="s">
        <v>55</v>
      </c>
      <c r="C24" s="303">
        <f>'February 2021'!G24</f>
        <v>0</v>
      </c>
      <c r="D24" s="317"/>
      <c r="E24" s="304"/>
      <c r="F24" s="318">
        <f>C24+D24-E24</f>
        <v>0</v>
      </c>
      <c r="G24" s="278"/>
      <c r="H24" s="273"/>
      <c r="I24" s="514"/>
      <c r="J24" s="319"/>
    </row>
    <row r="25" spans="1:16" hidden="1" x14ac:dyDescent="0.2">
      <c r="A25" s="310"/>
      <c r="B25" s="296" t="s">
        <v>70</v>
      </c>
      <c r="C25" s="303">
        <f>'January 2022'!F25</f>
        <v>7.9999999998108251E-2</v>
      </c>
      <c r="D25" s="312"/>
      <c r="E25" s="312"/>
      <c r="F25" s="318">
        <f>C25+D25-E25</f>
        <v>7.9999999998108251E-2</v>
      </c>
      <c r="G25" s="284"/>
      <c r="H25" s="273"/>
      <c r="I25" s="514"/>
      <c r="J25" s="319"/>
    </row>
    <row r="26" spans="1:16" x14ac:dyDescent="0.2">
      <c r="A26" s="275"/>
      <c r="B26" s="320" t="s">
        <v>105</v>
      </c>
      <c r="C26" s="303">
        <f>'January 2023'!F26</f>
        <v>6750.5900000000074</v>
      </c>
      <c r="D26" s="305"/>
      <c r="E26" s="321">
        <v>3322.1</v>
      </c>
      <c r="F26" s="318">
        <f t="shared" ref="F26:F31" si="2">C26+D26-E26</f>
        <v>3428.4900000000075</v>
      </c>
      <c r="G26" s="284"/>
      <c r="H26" s="273"/>
      <c r="I26" s="514"/>
      <c r="J26" s="514"/>
    </row>
    <row r="27" spans="1:16" hidden="1" x14ac:dyDescent="0.2">
      <c r="A27" s="275"/>
      <c r="B27" s="320" t="s">
        <v>39</v>
      </c>
      <c r="C27" s="303">
        <f>'January 2023'!F27</f>
        <v>8.1854523159563541E-12</v>
      </c>
      <c r="D27" s="312"/>
      <c r="E27" s="305"/>
      <c r="F27" s="318">
        <f t="shared" si="2"/>
        <v>8.1854523159563541E-12</v>
      </c>
      <c r="G27" s="284"/>
      <c r="H27" s="273"/>
      <c r="I27" s="514"/>
      <c r="J27" s="514"/>
    </row>
    <row r="28" spans="1:16" x14ac:dyDescent="0.2">
      <c r="A28" s="275"/>
      <c r="B28" s="320" t="s">
        <v>115</v>
      </c>
      <c r="C28" s="303">
        <f>'January 2023'!F28</f>
        <v>18710</v>
      </c>
      <c r="D28" s="312"/>
      <c r="E28" s="312"/>
      <c r="F28" s="318">
        <f t="shared" si="2"/>
        <v>18710</v>
      </c>
      <c r="G28" s="284"/>
      <c r="H28" s="273"/>
      <c r="I28" s="514"/>
      <c r="J28" s="514"/>
    </row>
    <row r="29" spans="1:16" x14ac:dyDescent="0.2">
      <c r="A29" s="275"/>
      <c r="B29" s="320" t="s">
        <v>86</v>
      </c>
      <c r="C29" s="303">
        <f>'January 2023'!F29</f>
        <v>922.15999999999804</v>
      </c>
      <c r="D29" s="312"/>
      <c r="E29" s="312">
        <v>922.16</v>
      </c>
      <c r="F29" s="318">
        <f t="shared" si="2"/>
        <v>-1.9326762412674725E-12</v>
      </c>
      <c r="G29" s="284"/>
      <c r="H29" s="273"/>
      <c r="I29" s="514"/>
      <c r="J29" s="514"/>
    </row>
    <row r="30" spans="1:16" x14ac:dyDescent="0.2">
      <c r="A30" s="275"/>
      <c r="B30" s="320" t="s">
        <v>101</v>
      </c>
      <c r="C30" s="303">
        <f>'January 2023'!F30</f>
        <v>124406</v>
      </c>
      <c r="D30" s="312"/>
      <c r="E30" s="312">
        <v>14089.68</v>
      </c>
      <c r="F30" s="318">
        <f t="shared" si="2"/>
        <v>110316.32</v>
      </c>
      <c r="G30" s="284"/>
      <c r="H30" s="273"/>
      <c r="I30" s="514"/>
      <c r="J30" s="514"/>
    </row>
    <row r="31" spans="1:16" x14ac:dyDescent="0.2">
      <c r="A31" s="275"/>
      <c r="B31" s="320" t="s">
        <v>119</v>
      </c>
      <c r="C31" s="303">
        <f>'January 2023'!F31</f>
        <v>0</v>
      </c>
      <c r="D31" s="312"/>
      <c r="E31" s="312"/>
      <c r="F31" s="318">
        <f t="shared" si="2"/>
        <v>0</v>
      </c>
      <c r="G31" s="284">
        <v>118184</v>
      </c>
      <c r="H31" s="273"/>
      <c r="I31" s="514"/>
      <c r="J31" s="514"/>
    </row>
    <row r="32" spans="1:16" x14ac:dyDescent="0.2">
      <c r="A32" s="275"/>
      <c r="B32" s="296" t="s">
        <v>44</v>
      </c>
      <c r="C32" s="303">
        <f>'January 2023'!F32</f>
        <v>-8712.44</v>
      </c>
      <c r="D32" s="312"/>
      <c r="E32" s="305">
        <v>1027.69</v>
      </c>
      <c r="F32" s="318">
        <f>C32+D32-E32</f>
        <v>-9740.130000000001</v>
      </c>
      <c r="G32" s="284"/>
      <c r="H32" s="273"/>
      <c r="I32" s="514"/>
      <c r="J32" s="514"/>
    </row>
    <row r="33" spans="1:16" x14ac:dyDescent="0.2">
      <c r="A33" s="809" t="s">
        <v>35</v>
      </c>
      <c r="B33" s="810"/>
      <c r="C33" s="298">
        <f>SUM(C34:C38)</f>
        <v>81267.59</v>
      </c>
      <c r="D33" s="313">
        <f>SUM(D34:D37)</f>
        <v>2958.46</v>
      </c>
      <c r="E33" s="314">
        <f>SUM(E34:E38)</f>
        <v>8258.42</v>
      </c>
      <c r="F33" s="314">
        <f>SUM(F34:F38)</f>
        <v>75967.630000000019</v>
      </c>
      <c r="G33" s="315">
        <f>SUM(G34:G36)</f>
        <v>43500</v>
      </c>
      <c r="H33" s="273"/>
      <c r="I33" s="273"/>
      <c r="P33" s="514"/>
    </row>
    <row r="34" spans="1:16" x14ac:dyDescent="0.2">
      <c r="A34" s="310"/>
      <c r="B34" s="296" t="s">
        <v>125</v>
      </c>
      <c r="C34" s="303">
        <f>'January 2023'!F34</f>
        <v>32652.899999999998</v>
      </c>
      <c r="D34" s="322">
        <v>2958.46</v>
      </c>
      <c r="E34" s="323">
        <f>1921.4+1921.4</f>
        <v>3842.8</v>
      </c>
      <c r="F34" s="324">
        <f>C34+D34-E34</f>
        <v>31768.560000000001</v>
      </c>
      <c r="G34" s="284"/>
      <c r="H34" s="273" t="s">
        <v>127</v>
      </c>
      <c r="I34" s="514"/>
      <c r="J34" s="319"/>
    </row>
    <row r="35" spans="1:16" x14ac:dyDescent="0.2">
      <c r="A35" s="310"/>
      <c r="B35" s="296" t="s">
        <v>90</v>
      </c>
      <c r="C35" s="303">
        <f>'January 2023'!F35</f>
        <v>20986.930000000008</v>
      </c>
      <c r="D35" s="322"/>
      <c r="E35" s="323">
        <v>295.35000000000002</v>
      </c>
      <c r="F35" s="324">
        <f t="shared" ref="F35" si="3">C35+D35-E35</f>
        <v>20691.580000000009</v>
      </c>
      <c r="G35" s="284">
        <v>35000</v>
      </c>
      <c r="H35" s="273"/>
      <c r="I35" s="514"/>
      <c r="J35" s="319"/>
    </row>
    <row r="36" spans="1:16" x14ac:dyDescent="0.2">
      <c r="A36" s="310"/>
      <c r="B36" s="325" t="s">
        <v>103</v>
      </c>
      <c r="C36" s="303">
        <f>'January 2023'!F36</f>
        <v>18824.079999999998</v>
      </c>
      <c r="D36" s="322"/>
      <c r="E36" s="305">
        <f>1224.07+2724.38</f>
        <v>3948.45</v>
      </c>
      <c r="F36" s="324">
        <f>C36+D36-E36</f>
        <v>14875.629999999997</v>
      </c>
      <c r="G36" s="284">
        <v>8500</v>
      </c>
      <c r="H36" s="273"/>
      <c r="I36" s="293"/>
      <c r="J36" s="266"/>
      <c r="P36" s="326"/>
    </row>
    <row r="37" spans="1:16" x14ac:dyDescent="0.2">
      <c r="B37" s="513" t="s">
        <v>99</v>
      </c>
      <c r="C37" s="303">
        <f>'January 2023'!F37</f>
        <v>10550</v>
      </c>
      <c r="D37" s="464"/>
      <c r="F37" s="324">
        <f>C37+D37-E37</f>
        <v>10550</v>
      </c>
    </row>
    <row r="38" spans="1:16" s="716" customFormat="1" ht="12" thickBot="1" x14ac:dyDescent="0.25">
      <c r="B38" s="716" t="s">
        <v>111</v>
      </c>
      <c r="C38" s="674">
        <f>'January 2023'!F38</f>
        <v>-1746.3200000000002</v>
      </c>
      <c r="D38" s="675"/>
      <c r="E38" s="716">
        <v>171.82</v>
      </c>
      <c r="F38" s="324">
        <f>C38+D38-E38</f>
        <v>-1918.14</v>
      </c>
    </row>
    <row r="39" spans="1:16" ht="12" thickBot="1" x14ac:dyDescent="0.25">
      <c r="A39" s="794" t="s">
        <v>11</v>
      </c>
      <c r="B39" s="795"/>
      <c r="C39" s="466">
        <f>C33+C23+C17+C6</f>
        <v>429262.74</v>
      </c>
      <c r="D39" s="465">
        <f>SUM(D23,D17,D6,D33)</f>
        <v>36363.57</v>
      </c>
      <c r="E39" s="328">
        <f>SUM(E23,E17,E6,E33)</f>
        <v>17209.510000000002</v>
      </c>
      <c r="F39" s="329">
        <f>SUM(F23,F17,F6,F33)</f>
        <v>448416.72</v>
      </c>
      <c r="G39" s="330">
        <f>SUM(G6,G16,G23,G33)</f>
        <v>130500</v>
      </c>
      <c r="H39" s="514"/>
      <c r="I39" s="514"/>
      <c r="J39" s="331"/>
    </row>
    <row r="40" spans="1:16" hidden="1" x14ac:dyDescent="0.2">
      <c r="A40" s="517"/>
      <c r="B40" s="512"/>
      <c r="C40" s="514">
        <f>SUM(C17:C22)</f>
        <v>-46128.060000000005</v>
      </c>
      <c r="D40" s="514"/>
      <c r="E40" s="514"/>
      <c r="F40" s="514"/>
      <c r="G40" s="334"/>
      <c r="H40" s="514"/>
      <c r="K40" s="513" t="s">
        <v>12</v>
      </c>
      <c r="L40" s="513">
        <v>42.43</v>
      </c>
    </row>
    <row r="41" spans="1:16" ht="12" hidden="1" thickBot="1" x14ac:dyDescent="0.25">
      <c r="A41" s="335" t="s">
        <v>25</v>
      </c>
      <c r="B41" s="336"/>
      <c r="C41" s="337" t="e">
        <f>SUM(C39,#REF!)</f>
        <v>#REF!</v>
      </c>
      <c r="D41" s="338" t="e">
        <f>SUM(D39,#REF!)</f>
        <v>#REF!</v>
      </c>
      <c r="E41" s="338" t="e">
        <f>SUM(E39,#REF!)</f>
        <v>#REF!</v>
      </c>
      <c r="F41" s="339" t="e">
        <f>SUM(F39,#REF!)</f>
        <v>#REF!</v>
      </c>
      <c r="G41" s="334"/>
      <c r="H41" s="514"/>
      <c r="I41" s="331"/>
      <c r="J41" s="79">
        <v>206730.35</v>
      </c>
    </row>
    <row r="42" spans="1:16" ht="12" thickBot="1" x14ac:dyDescent="0.25">
      <c r="B42" s="340"/>
      <c r="C42" s="514"/>
      <c r="D42" s="514"/>
      <c r="E42" s="514"/>
      <c r="F42" s="514"/>
      <c r="G42" s="334"/>
      <c r="H42" s="341"/>
      <c r="I42" s="331"/>
      <c r="J42" s="79"/>
      <c r="P42" s="514"/>
    </row>
    <row r="43" spans="1:16" ht="12" thickBot="1" x14ac:dyDescent="0.25">
      <c r="A43" s="796" t="s">
        <v>13</v>
      </c>
      <c r="B43" s="797"/>
      <c r="C43" s="342" t="s">
        <v>2</v>
      </c>
      <c r="D43" s="342" t="s">
        <v>3</v>
      </c>
      <c r="E43" s="342" t="s">
        <v>27</v>
      </c>
      <c r="F43" s="342" t="s">
        <v>5</v>
      </c>
      <c r="G43" s="269"/>
      <c r="H43" s="331"/>
      <c r="I43" s="343"/>
    </row>
    <row r="44" spans="1:16" ht="12" thickBot="1" x14ac:dyDescent="0.25">
      <c r="A44" s="784" t="s">
        <v>14</v>
      </c>
      <c r="B44" s="785"/>
      <c r="C44" s="344">
        <f>'January 2023'!F44</f>
        <v>218.58999999999997</v>
      </c>
      <c r="D44" s="345"/>
      <c r="E44" s="345">
        <v>14.04</v>
      </c>
      <c r="F44" s="346">
        <f>C44+D44-E44</f>
        <v>204.54999999999998</v>
      </c>
      <c r="G44" s="514"/>
      <c r="I44" s="331"/>
      <c r="J44" s="79"/>
    </row>
    <row r="45" spans="1:16" ht="12" thickBot="1" x14ac:dyDescent="0.25">
      <c r="A45" s="798" t="s">
        <v>15</v>
      </c>
      <c r="B45" s="799"/>
      <c r="C45" s="344">
        <f>'January 2023'!F45</f>
        <v>20697.530000000013</v>
      </c>
      <c r="D45" s="347">
        <v>18000</v>
      </c>
      <c r="E45" s="347">
        <v>25053.06</v>
      </c>
      <c r="F45" s="346">
        <f>C45+D45-E45</f>
        <v>13644.470000000012</v>
      </c>
      <c r="G45" s="514"/>
      <c r="H45" s="349"/>
      <c r="I45" s="331"/>
    </row>
    <row r="46" spans="1:16" ht="12" thickBot="1" x14ac:dyDescent="0.25">
      <c r="A46" s="350"/>
      <c r="B46" s="351" t="s">
        <v>21</v>
      </c>
      <c r="C46" s="344">
        <f>'January 2023'!F46</f>
        <v>0</v>
      </c>
      <c r="D46" s="352"/>
      <c r="E46" s="352"/>
      <c r="F46" s="346">
        <f t="shared" ref="F46:F48" si="4">C46+D46-E46</f>
        <v>0</v>
      </c>
      <c r="G46" s="514"/>
      <c r="H46" s="349"/>
      <c r="I46" s="79"/>
    </row>
    <row r="47" spans="1:16" ht="12" thickBot="1" x14ac:dyDescent="0.25">
      <c r="A47" s="350"/>
      <c r="B47" s="351" t="s">
        <v>40</v>
      </c>
      <c r="C47" s="344">
        <f>'January 2023'!F47</f>
        <v>-6428.2200000000012</v>
      </c>
      <c r="D47" s="353">
        <v>5926.7</v>
      </c>
      <c r="E47" s="353">
        <v>2558.5500000000002</v>
      </c>
      <c r="F47" s="346">
        <f>C47+D47-E47</f>
        <v>-3060.0700000000015</v>
      </c>
      <c r="G47" s="514"/>
      <c r="H47" s="79"/>
      <c r="I47" s="79"/>
    </row>
    <row r="48" spans="1:16" ht="12" thickBot="1" x14ac:dyDescent="0.25">
      <c r="A48" s="784" t="s">
        <v>16</v>
      </c>
      <c r="B48" s="785"/>
      <c r="C48" s="344">
        <f>'January 2023'!F48</f>
        <v>188396.27000000008</v>
      </c>
      <c r="D48" s="355">
        <v>41667.919999999998</v>
      </c>
      <c r="E48" s="355">
        <v>18000</v>
      </c>
      <c r="F48" s="346">
        <f t="shared" si="4"/>
        <v>212064.19000000006</v>
      </c>
      <c r="G48" s="514"/>
      <c r="H48" s="79"/>
      <c r="I48" s="79"/>
    </row>
    <row r="49" spans="1:16" ht="12" thickBot="1" x14ac:dyDescent="0.25">
      <c r="A49" s="357" t="s">
        <v>46</v>
      </c>
      <c r="B49" s="358"/>
      <c r="C49" s="344">
        <f>'January 2023'!F49</f>
        <v>226378.68999999992</v>
      </c>
      <c r="D49" s="322">
        <v>185.16</v>
      </c>
      <c r="E49" s="322">
        <f>1000</f>
        <v>1000</v>
      </c>
      <c r="F49" s="346">
        <f>C49+D49-E49</f>
        <v>225563.84999999992</v>
      </c>
      <c r="G49" s="514"/>
      <c r="H49" s="79"/>
      <c r="I49" s="79"/>
    </row>
    <row r="50" spans="1:16" ht="12" thickBot="1" x14ac:dyDescent="0.25">
      <c r="A50" s="800"/>
      <c r="B50" s="795"/>
      <c r="C50" s="360">
        <f>SUM(C44+C45+C48+C49+C47+C46)</f>
        <v>429262.86</v>
      </c>
      <c r="D50" s="361">
        <f>SUM(D44:D49)</f>
        <v>65779.78</v>
      </c>
      <c r="E50" s="361">
        <f>SUM(E44:E49)</f>
        <v>46625.65</v>
      </c>
      <c r="F50" s="346">
        <f>C50+D50-E50</f>
        <v>448416.99</v>
      </c>
      <c r="G50" s="514"/>
      <c r="H50" s="331"/>
      <c r="I50" s="79"/>
      <c r="J50" s="266"/>
    </row>
    <row r="51" spans="1:16" x14ac:dyDescent="0.2">
      <c r="A51" s="517"/>
      <c r="B51" s="512"/>
      <c r="C51" s="514">
        <f>C39-C50</f>
        <v>-0.11999999999534339</v>
      </c>
      <c r="D51" s="514"/>
      <c r="E51" s="514"/>
      <c r="F51" s="514">
        <f>F39-F50</f>
        <v>-0.27000000001862645</v>
      </c>
      <c r="H51" s="514"/>
      <c r="I51" s="331"/>
      <c r="J51" s="331"/>
      <c r="K51" s="266"/>
    </row>
    <row r="52" spans="1:16" x14ac:dyDescent="0.2">
      <c r="B52" s="340"/>
      <c r="C52" s="514"/>
      <c r="D52" s="514"/>
      <c r="E52" s="514"/>
      <c r="F52" s="514"/>
      <c r="G52" s="514"/>
      <c r="H52" s="514"/>
      <c r="I52" s="331"/>
    </row>
    <row r="53" spans="1:16" x14ac:dyDescent="0.2">
      <c r="A53" s="801" t="s">
        <v>17</v>
      </c>
      <c r="B53" s="801"/>
      <c r="C53" s="801"/>
      <c r="D53" s="801"/>
      <c r="E53" s="802" t="s">
        <v>18</v>
      </c>
      <c r="F53" s="802"/>
      <c r="G53" s="514"/>
      <c r="H53" s="514"/>
      <c r="J53" s="331"/>
    </row>
    <row r="54" spans="1:16" x14ac:dyDescent="0.2">
      <c r="C54" s="514"/>
      <c r="D54" s="514"/>
      <c r="E54" s="514"/>
      <c r="F54" s="514"/>
      <c r="G54" s="514"/>
      <c r="H54" s="514"/>
    </row>
    <row r="55" spans="1:16" x14ac:dyDescent="0.2">
      <c r="A55" s="801" t="s">
        <v>19</v>
      </c>
      <c r="B55" s="801"/>
      <c r="C55" s="801"/>
      <c r="D55" s="801"/>
      <c r="E55" s="802" t="s">
        <v>18</v>
      </c>
      <c r="F55" s="802"/>
      <c r="G55" s="514"/>
      <c r="H55" s="514"/>
    </row>
    <row r="56" spans="1:16" x14ac:dyDescent="0.2">
      <c r="A56" s="517"/>
      <c r="B56" s="512"/>
      <c r="C56" s="266"/>
      <c r="D56" s="266"/>
      <c r="E56" s="266"/>
      <c r="F56" s="79"/>
      <c r="G56" s="266"/>
      <c r="H56" s="266"/>
      <c r="I56" s="331"/>
      <c r="J56" s="79"/>
      <c r="P56" s="364"/>
    </row>
    <row r="57" spans="1:16" x14ac:dyDescent="0.2">
      <c r="B57" s="340"/>
      <c r="C57" s="331"/>
      <c r="D57" s="331"/>
      <c r="E57" s="331"/>
      <c r="F57" s="331"/>
      <c r="I57" s="331"/>
      <c r="J57" s="343"/>
      <c r="L57" s="266"/>
      <c r="P57" s="364"/>
    </row>
    <row r="58" spans="1:16" x14ac:dyDescent="0.2">
      <c r="B58" s="340"/>
      <c r="C58" s="79"/>
      <c r="D58" s="331"/>
      <c r="F58" s="331"/>
      <c r="J58" s="331"/>
    </row>
  </sheetData>
  <mergeCells count="17">
    <mergeCell ref="A50:B50"/>
    <mergeCell ref="A53:D53"/>
    <mergeCell ref="E53:F53"/>
    <mergeCell ref="A55:D55"/>
    <mergeCell ref="E55:F55"/>
    <mergeCell ref="A48:B48"/>
    <mergeCell ref="A2:G2"/>
    <mergeCell ref="A3:G3"/>
    <mergeCell ref="A5:B5"/>
    <mergeCell ref="A6:B6"/>
    <mergeCell ref="A17:B17"/>
    <mergeCell ref="A23:B23"/>
    <mergeCell ref="A33:B33"/>
    <mergeCell ref="A39:B39"/>
    <mergeCell ref="A43:B43"/>
    <mergeCell ref="A44:B44"/>
    <mergeCell ref="A45:B45"/>
  </mergeCells>
  <pageMargins left="0.7" right="0.7" top="0.75" bottom="0.75" header="0.3" footer="0.3"/>
  <pageSetup scale="84" orientation="portrait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DD5F0-303B-41D6-BCC4-2114ACEB9EA5}">
  <sheetPr>
    <pageSetUpPr fitToPage="1"/>
  </sheetPr>
  <dimension ref="A1:R59"/>
  <sheetViews>
    <sheetView topLeftCell="A5" zoomScale="130" zoomScaleNormal="130" workbookViewId="0">
      <selection activeCell="C40" sqref="C40"/>
    </sheetView>
  </sheetViews>
  <sheetFormatPr defaultColWidth="9.140625" defaultRowHeight="11.25" x14ac:dyDescent="0.2"/>
  <cols>
    <col min="1" max="1" width="10.7109375" style="518" customWidth="1"/>
    <col min="2" max="2" width="23.140625" style="518" customWidth="1"/>
    <col min="3" max="3" width="10" style="518" customWidth="1"/>
    <col min="4" max="4" width="8.85546875" style="518" customWidth="1"/>
    <col min="5" max="5" width="8.7109375" style="518" customWidth="1"/>
    <col min="6" max="6" width="10.28515625" style="518" customWidth="1"/>
    <col min="7" max="7" width="8.85546875" style="518" customWidth="1"/>
    <col min="8" max="8" width="13.7109375" style="518" customWidth="1"/>
    <col min="9" max="9" width="14.7109375" style="518" customWidth="1"/>
    <col min="10" max="10" width="14.5703125" style="518" customWidth="1"/>
    <col min="11" max="11" width="11.28515625" style="518" customWidth="1"/>
    <col min="12" max="15" width="9.140625" style="518"/>
    <col min="16" max="16" width="13" style="518" customWidth="1"/>
    <col min="17" max="16384" width="9.140625" style="518"/>
  </cols>
  <sheetData>
    <row r="1" spans="1:18" hidden="1" x14ac:dyDescent="0.2"/>
    <row r="2" spans="1:18" ht="12" x14ac:dyDescent="0.2">
      <c r="A2" s="817" t="s">
        <v>0</v>
      </c>
      <c r="B2" s="817"/>
      <c r="C2" s="817"/>
      <c r="D2" s="817"/>
      <c r="E2" s="817"/>
      <c r="F2" s="817"/>
      <c r="G2" s="817"/>
      <c r="H2" s="521"/>
    </row>
    <row r="3" spans="1:18" ht="12" x14ac:dyDescent="0.2">
      <c r="A3" s="818" t="s">
        <v>130</v>
      </c>
      <c r="B3" s="818"/>
      <c r="C3" s="818"/>
      <c r="D3" s="818"/>
      <c r="E3" s="818"/>
      <c r="F3" s="818"/>
      <c r="G3" s="818"/>
      <c r="H3" s="526" t="s">
        <v>133</v>
      </c>
      <c r="I3" s="522"/>
    </row>
    <row r="4" spans="1:18" ht="12.75" thickBot="1" x14ac:dyDescent="0.25">
      <c r="A4" s="522"/>
      <c r="B4" s="523" t="s">
        <v>37</v>
      </c>
      <c r="C4" s="522"/>
      <c r="D4" s="522"/>
      <c r="E4" s="522"/>
      <c r="F4" s="524"/>
      <c r="G4" s="522"/>
      <c r="H4" s="530" t="s">
        <v>134</v>
      </c>
    </row>
    <row r="5" spans="1:18" ht="15.75" customHeight="1" x14ac:dyDescent="0.2">
      <c r="A5" s="819" t="s">
        <v>1</v>
      </c>
      <c r="B5" s="820"/>
      <c r="C5" s="525" t="s">
        <v>2</v>
      </c>
      <c r="D5" s="525" t="s">
        <v>3</v>
      </c>
      <c r="E5" s="525" t="s">
        <v>58</v>
      </c>
      <c r="F5" s="525" t="s">
        <v>5</v>
      </c>
      <c r="G5" s="525" t="s">
        <v>6</v>
      </c>
      <c r="H5" s="538" t="s">
        <v>135</v>
      </c>
    </row>
    <row r="6" spans="1:18" ht="12" x14ac:dyDescent="0.2">
      <c r="A6" s="821" t="s">
        <v>132</v>
      </c>
      <c r="B6" s="822"/>
      <c r="C6" s="527">
        <f>SUM(C7:C16)</f>
        <v>251759.89999999997</v>
      </c>
      <c r="D6" s="528">
        <f>SUM(D7:D16)</f>
        <v>14897.62</v>
      </c>
      <c r="E6" s="528">
        <f>SUM(E7:E16)</f>
        <v>5506.8099999999995</v>
      </c>
      <c r="F6" s="528">
        <f>SUM(F7:F16)</f>
        <v>261150.71000000002</v>
      </c>
      <c r="G6" s="529">
        <f>SUM(G7:G15)</f>
        <v>0</v>
      </c>
      <c r="I6" s="273"/>
      <c r="J6" s="273"/>
      <c r="K6" s="519"/>
      <c r="P6" s="519"/>
      <c r="R6" s="519"/>
    </row>
    <row r="7" spans="1:18" ht="12" customHeight="1" x14ac:dyDescent="0.2">
      <c r="A7" s="531"/>
      <c r="B7" s="532" t="s">
        <v>23</v>
      </c>
      <c r="C7" s="533">
        <f>'February 2023'!F7</f>
        <v>249585.65</v>
      </c>
      <c r="D7" s="534">
        <v>305.2</v>
      </c>
      <c r="E7" s="535">
        <f>1000+2071.46+250+60+110-1671.02</f>
        <v>1820.44</v>
      </c>
      <c r="F7" s="536">
        <f>C7+D7-E7</f>
        <v>248070.41</v>
      </c>
      <c r="G7" s="537"/>
      <c r="I7" s="519"/>
    </row>
    <row r="8" spans="1:18" ht="12" x14ac:dyDescent="0.2">
      <c r="A8" s="539"/>
      <c r="B8" s="540" t="s">
        <v>62</v>
      </c>
      <c r="C8" s="533">
        <f>'February 2023'!F8</f>
        <v>-5058.4999999999982</v>
      </c>
      <c r="D8" s="541">
        <v>8903.2900000000009</v>
      </c>
      <c r="E8" s="541">
        <v>2209.2800000000002</v>
      </c>
      <c r="F8" s="542">
        <f t="shared" ref="F8:F15" si="0">C8+D8-E8</f>
        <v>1635.5100000000025</v>
      </c>
      <c r="G8" s="537"/>
      <c r="H8" s="543"/>
      <c r="I8" s="287"/>
    </row>
    <row r="9" spans="1:18" ht="12" hidden="1" x14ac:dyDescent="0.2">
      <c r="A9" s="539"/>
      <c r="B9" s="544" t="s">
        <v>67</v>
      </c>
      <c r="C9" s="533">
        <f>'February 2023'!F9</f>
        <v>0</v>
      </c>
      <c r="D9" s="541"/>
      <c r="E9" s="541"/>
      <c r="F9" s="536">
        <f t="shared" si="0"/>
        <v>0</v>
      </c>
      <c r="G9" s="537"/>
      <c r="H9" s="543"/>
      <c r="I9" s="289"/>
      <c r="J9" s="519"/>
    </row>
    <row r="10" spans="1:18" ht="12" hidden="1" x14ac:dyDescent="0.2">
      <c r="A10" s="539"/>
      <c r="B10" s="544" t="s">
        <v>41</v>
      </c>
      <c r="C10" s="533">
        <f>'February 2023'!F10</f>
        <v>-1.0000000002037268E-2</v>
      </c>
      <c r="D10" s="545"/>
      <c r="E10" s="545"/>
      <c r="F10" s="542">
        <f t="shared" si="0"/>
        <v>-1.0000000002037268E-2</v>
      </c>
      <c r="G10" s="537"/>
      <c r="H10" s="543"/>
      <c r="I10" s="291"/>
      <c r="J10" s="519"/>
    </row>
    <row r="11" spans="1:18" ht="12" x14ac:dyDescent="0.2">
      <c r="A11" s="539"/>
      <c r="B11" s="544" t="s">
        <v>117</v>
      </c>
      <c r="C11" s="533">
        <f>'February 2023'!F11</f>
        <v>500</v>
      </c>
      <c r="D11" s="546"/>
      <c r="E11" s="546">
        <v>174</v>
      </c>
      <c r="F11" s="536">
        <f t="shared" si="0"/>
        <v>326</v>
      </c>
      <c r="G11" s="537"/>
      <c r="H11" s="543"/>
      <c r="I11" s="293"/>
    </row>
    <row r="12" spans="1:18" ht="12" x14ac:dyDescent="0.2">
      <c r="A12" s="539"/>
      <c r="B12" s="544" t="s">
        <v>20</v>
      </c>
      <c r="C12" s="533">
        <f>'February 2023'!F12</f>
        <v>8070.9</v>
      </c>
      <c r="D12" s="547">
        <f>3834.39+21.33</f>
        <v>3855.72</v>
      </c>
      <c r="E12" s="547">
        <v>95.11</v>
      </c>
      <c r="F12" s="548">
        <f>C12+D12-E12</f>
        <v>11831.509999999998</v>
      </c>
      <c r="G12" s="537"/>
      <c r="H12" s="543"/>
      <c r="I12" s="519"/>
    </row>
    <row r="13" spans="1:18" ht="12" x14ac:dyDescent="0.2">
      <c r="A13" s="539"/>
      <c r="B13" s="544" t="s">
        <v>22</v>
      </c>
      <c r="C13" s="533">
        <f>'February 2023'!F13</f>
        <v>437.76999999999987</v>
      </c>
      <c r="D13" s="547">
        <v>204.4</v>
      </c>
      <c r="E13" s="547"/>
      <c r="F13" s="548">
        <f>C13+D13-E13</f>
        <v>642.16999999999985</v>
      </c>
      <c r="G13" s="537"/>
      <c r="H13" s="543"/>
      <c r="I13" s="519"/>
    </row>
    <row r="14" spans="1:18" ht="12" x14ac:dyDescent="0.2">
      <c r="A14" s="539"/>
      <c r="B14" s="544" t="s">
        <v>28</v>
      </c>
      <c r="C14" s="533">
        <f>'February 2023'!F14</f>
        <v>-635.15000000000123</v>
      </c>
      <c r="D14" s="547">
        <v>1629.01</v>
      </c>
      <c r="E14" s="547">
        <v>1123.6099999999999</v>
      </c>
      <c r="F14" s="542">
        <f t="shared" si="0"/>
        <v>-129.75000000000114</v>
      </c>
      <c r="G14" s="537"/>
      <c r="H14" s="543"/>
      <c r="I14" s="519"/>
    </row>
    <row r="15" spans="1:18" ht="12" x14ac:dyDescent="0.2">
      <c r="A15" s="539"/>
      <c r="B15" s="549" t="s">
        <v>42</v>
      </c>
      <c r="C15" s="533">
        <f>'February 2023'!F15</f>
        <v>-381.72999999999996</v>
      </c>
      <c r="D15" s="541"/>
      <c r="E15" s="541"/>
      <c r="F15" s="550">
        <f t="shared" si="0"/>
        <v>-381.72999999999996</v>
      </c>
      <c r="G15" s="537"/>
      <c r="H15" s="543"/>
      <c r="I15" s="519"/>
    </row>
    <row r="16" spans="1:18" ht="12" x14ac:dyDescent="0.2">
      <c r="A16" s="539"/>
      <c r="B16" s="549" t="s">
        <v>43</v>
      </c>
      <c r="C16" s="533">
        <f>'February 2023'!F16</f>
        <v>-759.03000000000043</v>
      </c>
      <c r="D16" s="541"/>
      <c r="E16" s="541">
        <v>84.37</v>
      </c>
      <c r="F16" s="548">
        <f>C16+D16-E16</f>
        <v>-843.40000000000043</v>
      </c>
      <c r="G16" s="537"/>
      <c r="H16" s="543"/>
      <c r="I16" s="273"/>
      <c r="P16" s="519"/>
    </row>
    <row r="17" spans="1:16" ht="12" x14ac:dyDescent="0.2">
      <c r="A17" s="823" t="s">
        <v>53</v>
      </c>
      <c r="B17" s="823"/>
      <c r="C17" s="551">
        <f>SUM(C18:C22)</f>
        <v>-2025.4900000000043</v>
      </c>
      <c r="D17" s="552">
        <f>SUM(D18:D22)</f>
        <v>3854.7</v>
      </c>
      <c r="E17" s="552">
        <f>SUM(E18:E22)</f>
        <v>3061.8199999999997</v>
      </c>
      <c r="F17" s="542">
        <f>SUM(F18:F22)</f>
        <v>-1232.6100000000047</v>
      </c>
      <c r="G17" s="553"/>
      <c r="H17" s="543"/>
      <c r="I17" s="273"/>
      <c r="P17" s="519"/>
    </row>
    <row r="18" spans="1:16" ht="12" x14ac:dyDescent="0.2">
      <c r="A18" s="554"/>
      <c r="B18" s="555" t="s">
        <v>9</v>
      </c>
      <c r="C18" s="556">
        <f>'February 2023'!F18</f>
        <v>-1.0000000002946763E-2</v>
      </c>
      <c r="D18" s="557"/>
      <c r="E18" s="558"/>
      <c r="F18" s="559">
        <f>C18+D18-E18</f>
        <v>-1.0000000002946763E-2</v>
      </c>
      <c r="G18" s="541">
        <v>10000</v>
      </c>
      <c r="H18" s="560"/>
      <c r="I18" s="519"/>
      <c r="J18" s="79"/>
    </row>
    <row r="19" spans="1:16" ht="12" x14ac:dyDescent="0.2">
      <c r="A19" s="539"/>
      <c r="B19" s="561" t="s">
        <v>8</v>
      </c>
      <c r="C19" s="556">
        <f>'February 2023'!F19</f>
        <v>-1766.45</v>
      </c>
      <c r="D19" s="547">
        <v>3854.7</v>
      </c>
      <c r="E19" s="545">
        <v>2243.5700000000002</v>
      </c>
      <c r="F19" s="559">
        <f>C19+D19-E19</f>
        <v>-155.32000000000016</v>
      </c>
      <c r="G19" s="562"/>
      <c r="H19" s="560"/>
      <c r="I19" s="519"/>
    </row>
    <row r="20" spans="1:16" ht="12" x14ac:dyDescent="0.2">
      <c r="A20" s="539"/>
      <c r="B20" s="563" t="s">
        <v>32</v>
      </c>
      <c r="C20" s="556">
        <f>'February 2023'!F20</f>
        <v>313.74999999999955</v>
      </c>
      <c r="D20" s="547"/>
      <c r="E20" s="545">
        <v>392.76</v>
      </c>
      <c r="F20" s="559">
        <f t="shared" ref="F20:F22" si="1">C20+D20-E20</f>
        <v>-79.010000000000446</v>
      </c>
      <c r="G20" s="564">
        <v>5000</v>
      </c>
      <c r="H20" s="560"/>
      <c r="I20" s="519"/>
    </row>
    <row r="21" spans="1:16" ht="12" hidden="1" x14ac:dyDescent="0.2">
      <c r="A21" s="539"/>
      <c r="B21" s="561" t="s">
        <v>67</v>
      </c>
      <c r="C21" s="556">
        <f>'February 2023'!F21</f>
        <v>-9.0951551845463996E-15</v>
      </c>
      <c r="D21" s="547"/>
      <c r="E21" s="547"/>
      <c r="F21" s="559">
        <f t="shared" si="1"/>
        <v>-9.0951551845463996E-15</v>
      </c>
      <c r="G21" s="564"/>
      <c r="H21" s="560"/>
      <c r="I21" s="519"/>
    </row>
    <row r="22" spans="1:16" ht="12" x14ac:dyDescent="0.2">
      <c r="A22" s="565"/>
      <c r="B22" s="566" t="s">
        <v>38</v>
      </c>
      <c r="C22" s="556">
        <f>'February 2023'!F22</f>
        <v>-572.780000000001</v>
      </c>
      <c r="D22" s="567"/>
      <c r="E22" s="558">
        <v>425.49</v>
      </c>
      <c r="F22" s="559">
        <f t="shared" si="1"/>
        <v>-998.270000000001</v>
      </c>
      <c r="G22" s="541">
        <v>8500</v>
      </c>
      <c r="H22" s="560"/>
      <c r="I22" s="519"/>
      <c r="J22" s="79"/>
    </row>
    <row r="23" spans="1:16" ht="12" x14ac:dyDescent="0.2">
      <c r="A23" s="824" t="s">
        <v>10</v>
      </c>
      <c r="B23" s="825"/>
      <c r="C23" s="551">
        <f>SUM(C24:C32)</f>
        <v>122714.76000000001</v>
      </c>
      <c r="D23" s="568">
        <f>SUM(D24:D32)</f>
        <v>118184</v>
      </c>
      <c r="E23" s="569">
        <f>SUM(E24:E32)</f>
        <v>13971.45</v>
      </c>
      <c r="F23" s="569">
        <f>SUM(F24:F32)-0.08</f>
        <v>226927.23000000004</v>
      </c>
      <c r="G23" s="570">
        <f>SUM(G33:G36)</f>
        <v>70000</v>
      </c>
      <c r="H23" s="543"/>
      <c r="I23" s="273"/>
      <c r="P23" s="519"/>
    </row>
    <row r="24" spans="1:16" ht="12" hidden="1" x14ac:dyDescent="0.2">
      <c r="A24" s="554"/>
      <c r="B24" s="571" t="s">
        <v>55</v>
      </c>
      <c r="C24" s="556">
        <f>'February 2021'!G24</f>
        <v>0</v>
      </c>
      <c r="D24" s="572"/>
      <c r="E24" s="557"/>
      <c r="F24" s="573">
        <f>C24+D24-E24</f>
        <v>0</v>
      </c>
      <c r="G24" s="534"/>
      <c r="H24" s="543"/>
      <c r="I24" s="519"/>
      <c r="J24" s="319"/>
    </row>
    <row r="25" spans="1:16" ht="12" hidden="1" x14ac:dyDescent="0.2">
      <c r="A25" s="565"/>
      <c r="B25" s="549" t="s">
        <v>70</v>
      </c>
      <c r="C25" s="556">
        <f>'January 2022'!F25</f>
        <v>7.9999999998108251E-2</v>
      </c>
      <c r="D25" s="567"/>
      <c r="E25" s="567"/>
      <c r="F25" s="573">
        <f>C25+D25-E25</f>
        <v>7.9999999998108251E-2</v>
      </c>
      <c r="G25" s="541"/>
      <c r="H25" s="543"/>
      <c r="I25" s="519"/>
      <c r="J25" s="319"/>
    </row>
    <row r="26" spans="1:16" ht="12" x14ac:dyDescent="0.2">
      <c r="A26" s="531"/>
      <c r="B26" s="574" t="s">
        <v>105</v>
      </c>
      <c r="C26" s="556">
        <f>'February 2023'!F26</f>
        <v>3428.4900000000075</v>
      </c>
      <c r="D26" s="558"/>
      <c r="E26" s="575">
        <v>2896.61</v>
      </c>
      <c r="F26" s="573">
        <f t="shared" ref="F26:F31" si="2">C26+D26-E26</f>
        <v>531.88000000000739</v>
      </c>
      <c r="G26" s="541"/>
      <c r="H26" s="543"/>
      <c r="I26" s="519"/>
      <c r="J26" s="519"/>
    </row>
    <row r="27" spans="1:16" ht="12" hidden="1" x14ac:dyDescent="0.2">
      <c r="A27" s="531"/>
      <c r="B27" s="574" t="s">
        <v>39</v>
      </c>
      <c r="C27" s="556">
        <f>'February 2023'!F27</f>
        <v>8.1854523159563541E-12</v>
      </c>
      <c r="D27" s="567"/>
      <c r="E27" s="558"/>
      <c r="F27" s="573">
        <f t="shared" si="2"/>
        <v>8.1854523159563541E-12</v>
      </c>
      <c r="G27" s="541"/>
      <c r="H27" s="543"/>
      <c r="I27" s="519"/>
      <c r="J27" s="519"/>
    </row>
    <row r="28" spans="1:16" ht="12" x14ac:dyDescent="0.2">
      <c r="A28" s="531"/>
      <c r="B28" s="574" t="s">
        <v>115</v>
      </c>
      <c r="C28" s="556">
        <f>'February 2023'!F28</f>
        <v>18710</v>
      </c>
      <c r="D28" s="567"/>
      <c r="E28" s="567"/>
      <c r="F28" s="573">
        <f t="shared" si="2"/>
        <v>18710</v>
      </c>
      <c r="G28" s="541"/>
      <c r="H28" s="543"/>
      <c r="I28" s="519"/>
      <c r="J28" s="519"/>
    </row>
    <row r="29" spans="1:16" ht="12" x14ac:dyDescent="0.2">
      <c r="A29" s="531"/>
      <c r="B29" s="574" t="s">
        <v>86</v>
      </c>
      <c r="C29" s="556">
        <f>'February 2023'!F29</f>
        <v>-1.9326762412674725E-12</v>
      </c>
      <c r="D29" s="567"/>
      <c r="E29" s="567"/>
      <c r="F29" s="573">
        <f t="shared" si="2"/>
        <v>-1.9326762412674725E-12</v>
      </c>
      <c r="G29" s="541"/>
      <c r="H29" s="543"/>
      <c r="I29" s="519"/>
      <c r="J29" s="519"/>
    </row>
    <row r="30" spans="1:16" ht="12" x14ac:dyDescent="0.2">
      <c r="A30" s="531"/>
      <c r="B30" s="574" t="s">
        <v>101</v>
      </c>
      <c r="C30" s="556">
        <f>'February 2023'!F30</f>
        <v>110316.32</v>
      </c>
      <c r="D30" s="567"/>
      <c r="E30" s="567">
        <v>10175.23</v>
      </c>
      <c r="F30" s="573">
        <f t="shared" si="2"/>
        <v>100141.09000000001</v>
      </c>
      <c r="G30" s="541"/>
      <c r="H30" s="543"/>
      <c r="I30" s="519"/>
      <c r="J30" s="519"/>
    </row>
    <row r="31" spans="1:16" ht="12" x14ac:dyDescent="0.2">
      <c r="A31" s="531"/>
      <c r="B31" s="574" t="s">
        <v>119</v>
      </c>
      <c r="C31" s="556">
        <f>'February 2023'!F31</f>
        <v>0</v>
      </c>
      <c r="D31" s="567">
        <v>118184</v>
      </c>
      <c r="E31" s="567"/>
      <c r="F31" s="573">
        <f t="shared" si="2"/>
        <v>118184</v>
      </c>
      <c r="G31" s="541"/>
      <c r="H31" s="543"/>
      <c r="I31" s="519"/>
      <c r="J31" s="519"/>
    </row>
    <row r="32" spans="1:16" ht="12" x14ac:dyDescent="0.2">
      <c r="A32" s="531"/>
      <c r="B32" s="549" t="s">
        <v>44</v>
      </c>
      <c r="C32" s="556">
        <f>'February 2023'!F32</f>
        <v>-9740.130000000001</v>
      </c>
      <c r="D32" s="567"/>
      <c r="E32" s="558">
        <v>899.61</v>
      </c>
      <c r="F32" s="573">
        <f>C32+D32-E32</f>
        <v>-10639.740000000002</v>
      </c>
      <c r="G32" s="541"/>
      <c r="H32" s="543"/>
      <c r="I32" s="519"/>
      <c r="J32" s="519"/>
    </row>
    <row r="33" spans="1:16" ht="12" x14ac:dyDescent="0.2">
      <c r="A33" s="826" t="s">
        <v>35</v>
      </c>
      <c r="B33" s="827"/>
      <c r="C33" s="551">
        <f>SUM(C34:C39)</f>
        <v>75967.630000000019</v>
      </c>
      <c r="D33" s="568">
        <f>SUM(D34:D39)</f>
        <v>24053.43</v>
      </c>
      <c r="E33" s="569">
        <f>SUM(E34:E39)</f>
        <v>536.09</v>
      </c>
      <c r="F33" s="569">
        <f>SUM(F34:F39)</f>
        <v>99484.97</v>
      </c>
      <c r="G33" s="570">
        <f>SUM(G34:G36)</f>
        <v>35000</v>
      </c>
      <c r="H33" s="543"/>
      <c r="I33" s="273"/>
      <c r="P33" s="519"/>
    </row>
    <row r="34" spans="1:16" ht="12" x14ac:dyDescent="0.2">
      <c r="A34" s="565"/>
      <c r="B34" s="549" t="s">
        <v>125</v>
      </c>
      <c r="C34" s="556">
        <f>'February 2023'!F34</f>
        <v>31768.560000000001</v>
      </c>
      <c r="D34" s="576"/>
      <c r="E34" s="577">
        <v>49.1</v>
      </c>
      <c r="F34" s="578">
        <f>C34+D34-E34</f>
        <v>31719.460000000003</v>
      </c>
      <c r="G34" s="541"/>
      <c r="H34" s="543"/>
      <c r="I34" s="519"/>
      <c r="J34" s="319"/>
    </row>
    <row r="35" spans="1:16" ht="12" x14ac:dyDescent="0.2">
      <c r="A35" s="565"/>
      <c r="B35" s="549" t="s">
        <v>90</v>
      </c>
      <c r="C35" s="556">
        <f>'February 2023'!F35</f>
        <v>20691.580000000009</v>
      </c>
      <c r="D35" s="576"/>
      <c r="E35" s="577"/>
      <c r="F35" s="578">
        <f t="shared" ref="F35" si="3">C35+D35-E35</f>
        <v>20691.580000000009</v>
      </c>
      <c r="G35" s="541">
        <v>35000</v>
      </c>
      <c r="H35" s="543"/>
      <c r="I35" s="519"/>
      <c r="J35" s="319"/>
    </row>
    <row r="36" spans="1:16" ht="12" x14ac:dyDescent="0.2">
      <c r="A36" s="565"/>
      <c r="B36" s="579" t="s">
        <v>120</v>
      </c>
      <c r="C36" s="556">
        <f>'February 2023'!F36</f>
        <v>14875.629999999997</v>
      </c>
      <c r="D36" s="576">
        <v>8500</v>
      </c>
      <c r="E36" s="558">
        <v>413.35</v>
      </c>
      <c r="F36" s="578">
        <f>C36+D36-E36</f>
        <v>22962.28</v>
      </c>
      <c r="G36" s="541"/>
      <c r="H36" s="543"/>
      <c r="I36" s="293"/>
      <c r="J36" s="266"/>
      <c r="P36" s="326"/>
    </row>
    <row r="37" spans="1:16" ht="12" x14ac:dyDescent="0.2">
      <c r="A37" s="522"/>
      <c r="B37" s="522" t="s">
        <v>99</v>
      </c>
      <c r="C37" s="556">
        <f>'February 2023'!F37</f>
        <v>10550</v>
      </c>
      <c r="D37" s="580"/>
      <c r="E37" s="522"/>
      <c r="F37" s="578">
        <f>C37+D37-E37</f>
        <v>10550</v>
      </c>
      <c r="G37" s="522"/>
      <c r="H37" s="522"/>
    </row>
    <row r="38" spans="1:16" s="520" customFormat="1" ht="12" x14ac:dyDescent="0.2">
      <c r="A38" s="522"/>
      <c r="B38" s="522" t="s">
        <v>131</v>
      </c>
      <c r="C38" s="581">
        <v>0</v>
      </c>
      <c r="D38" s="582">
        <v>14175</v>
      </c>
      <c r="E38" s="522"/>
      <c r="F38" s="578">
        <f>C38+D38-E38</f>
        <v>14175</v>
      </c>
      <c r="G38" s="522"/>
      <c r="H38" s="522"/>
    </row>
    <row r="39" spans="1:16" s="520" customFormat="1" ht="12.75" thickBot="1" x14ac:dyDescent="0.25">
      <c r="A39" s="522"/>
      <c r="B39" s="583" t="s">
        <v>111</v>
      </c>
      <c r="C39" s="581">
        <f>'February 2023'!F38</f>
        <v>-1918.14</v>
      </c>
      <c r="D39" s="584">
        <v>1378.43</v>
      </c>
      <c r="E39" s="522">
        <v>73.64</v>
      </c>
      <c r="F39" s="578">
        <f>C39+D39-E39</f>
        <v>-613.35</v>
      </c>
      <c r="G39" s="522"/>
      <c r="H39" s="522"/>
    </row>
    <row r="40" spans="1:16" ht="12.75" thickBot="1" x14ac:dyDescent="0.25">
      <c r="A40" s="828" t="s">
        <v>11</v>
      </c>
      <c r="B40" s="812"/>
      <c r="C40" s="585">
        <f>C33+C23+C17+C6</f>
        <v>448416.8</v>
      </c>
      <c r="D40" s="586">
        <f>SUM(D23,D17,D6,D33)</f>
        <v>160989.75</v>
      </c>
      <c r="E40" s="587">
        <f>SUM(E23,E17,E6,E33)</f>
        <v>23076.170000000002</v>
      </c>
      <c r="F40" s="588">
        <f>SUM(F23,F17,F6,F33)</f>
        <v>586330.30000000005</v>
      </c>
      <c r="G40" s="589">
        <f>SUM(G6,G16,G23,G33)</f>
        <v>105000</v>
      </c>
      <c r="H40" s="590"/>
      <c r="I40" s="519"/>
      <c r="J40" s="331"/>
    </row>
    <row r="41" spans="1:16" ht="12" hidden="1" x14ac:dyDescent="0.2">
      <c r="A41" s="591"/>
      <c r="B41" s="592"/>
      <c r="C41" s="590">
        <f>SUM(C17:C22)</f>
        <v>-4050.9800000000087</v>
      </c>
      <c r="D41" s="590"/>
      <c r="E41" s="590"/>
      <c r="F41" s="590"/>
      <c r="G41" s="593"/>
      <c r="H41" s="590"/>
      <c r="K41" s="518" t="s">
        <v>12</v>
      </c>
      <c r="L41" s="518">
        <v>42.43</v>
      </c>
    </row>
    <row r="42" spans="1:16" ht="12.75" hidden="1" thickBot="1" x14ac:dyDescent="0.25">
      <c r="A42" s="594" t="s">
        <v>25</v>
      </c>
      <c r="B42" s="595"/>
      <c r="C42" s="596" t="e">
        <f>SUM(C40,#REF!)</f>
        <v>#REF!</v>
      </c>
      <c r="D42" s="597" t="e">
        <f>SUM(D40,#REF!)</f>
        <v>#REF!</v>
      </c>
      <c r="E42" s="597" t="e">
        <f>SUM(E40,#REF!)</f>
        <v>#REF!</v>
      </c>
      <c r="F42" s="598" t="e">
        <f>SUM(F40,#REF!)</f>
        <v>#REF!</v>
      </c>
      <c r="G42" s="593"/>
      <c r="H42" s="590"/>
      <c r="I42" s="331"/>
      <c r="J42" s="79">
        <v>206730.35</v>
      </c>
    </row>
    <row r="43" spans="1:16" ht="12.75" thickBot="1" x14ac:dyDescent="0.25">
      <c r="A43" s="522"/>
      <c r="B43" s="599"/>
      <c r="C43" s="590"/>
      <c r="D43" s="590"/>
      <c r="E43" s="590"/>
      <c r="F43" s="590"/>
      <c r="G43" s="593"/>
      <c r="H43" s="600"/>
      <c r="I43" s="331"/>
      <c r="J43" s="79"/>
      <c r="P43" s="519"/>
    </row>
    <row r="44" spans="1:16" ht="12.75" thickBot="1" x14ac:dyDescent="0.25">
      <c r="A44" s="829" t="s">
        <v>13</v>
      </c>
      <c r="B44" s="830"/>
      <c r="C44" s="601" t="s">
        <v>2</v>
      </c>
      <c r="D44" s="601" t="s">
        <v>3</v>
      </c>
      <c r="E44" s="601" t="s">
        <v>27</v>
      </c>
      <c r="F44" s="601" t="s">
        <v>5</v>
      </c>
      <c r="G44" s="602"/>
      <c r="H44" s="603"/>
      <c r="I44" s="343"/>
    </row>
    <row r="45" spans="1:16" ht="12.75" thickBot="1" x14ac:dyDescent="0.25">
      <c r="A45" s="815" t="s">
        <v>14</v>
      </c>
      <c r="B45" s="816"/>
      <c r="C45" s="604">
        <f>'February 2023'!F44</f>
        <v>204.54999999999998</v>
      </c>
      <c r="D45" s="605"/>
      <c r="E45" s="605">
        <v>11.64</v>
      </c>
      <c r="F45" s="606">
        <f>C45+D45-E45</f>
        <v>192.90999999999997</v>
      </c>
      <c r="G45" s="590"/>
      <c r="H45" s="522"/>
      <c r="I45" s="331"/>
      <c r="J45" s="79"/>
    </row>
    <row r="46" spans="1:16" ht="12.75" thickBot="1" x14ac:dyDescent="0.25">
      <c r="A46" s="831" t="s">
        <v>15</v>
      </c>
      <c r="B46" s="832"/>
      <c r="C46" s="604">
        <f>'February 2023'!F45</f>
        <v>13644.470000000012</v>
      </c>
      <c r="D46" s="607">
        <v>22000</v>
      </c>
      <c r="E46" s="607">
        <v>20936.22</v>
      </c>
      <c r="F46" s="606">
        <f>C46+D46-E46</f>
        <v>14708.250000000015</v>
      </c>
      <c r="G46" s="590"/>
      <c r="H46" s="608"/>
      <c r="I46" s="331"/>
    </row>
    <row r="47" spans="1:16" ht="12.75" thickBot="1" x14ac:dyDescent="0.25">
      <c r="A47" s="609"/>
      <c r="B47" s="610" t="s">
        <v>21</v>
      </c>
      <c r="C47" s="604">
        <f>'February 2023'!F46</f>
        <v>0</v>
      </c>
      <c r="D47" s="611"/>
      <c r="E47" s="611"/>
      <c r="F47" s="606">
        <f t="shared" ref="F47:F49" si="4">C47+D47-E47</f>
        <v>0</v>
      </c>
      <c r="G47" s="590"/>
      <c r="H47" s="608"/>
      <c r="I47" s="79"/>
    </row>
    <row r="48" spans="1:16" ht="12.75" thickBot="1" x14ac:dyDescent="0.25">
      <c r="A48" s="609"/>
      <c r="B48" s="610" t="s">
        <v>40</v>
      </c>
      <c r="C48" s="604">
        <f>'February 2023'!F47</f>
        <v>-3060.0700000000015</v>
      </c>
      <c r="D48" s="612">
        <v>2558.5500000000002</v>
      </c>
      <c r="E48" s="612">
        <v>385.39</v>
      </c>
      <c r="F48" s="606">
        <f>C48+D48-E48</f>
        <v>-886.91000000000133</v>
      </c>
      <c r="G48" s="590"/>
      <c r="H48" s="613"/>
      <c r="I48" s="79"/>
    </row>
    <row r="49" spans="1:16" ht="12.75" thickBot="1" x14ac:dyDescent="0.25">
      <c r="A49" s="815" t="s">
        <v>16</v>
      </c>
      <c r="B49" s="816"/>
      <c r="C49" s="604">
        <f>'February 2023'!F48</f>
        <v>212064.19000000006</v>
      </c>
      <c r="D49" s="614">
        <v>157502.49</v>
      </c>
      <c r="E49" s="614">
        <v>22000</v>
      </c>
      <c r="F49" s="606">
        <f t="shared" si="4"/>
        <v>347566.68000000005</v>
      </c>
      <c r="G49" s="590"/>
      <c r="H49" s="613"/>
      <c r="I49" s="79"/>
    </row>
    <row r="50" spans="1:16" ht="12.75" thickBot="1" x14ac:dyDescent="0.25">
      <c r="A50" s="615" t="s">
        <v>46</v>
      </c>
      <c r="B50" s="616"/>
      <c r="C50" s="604">
        <f>'February 2023'!F49</f>
        <v>225563.84999999992</v>
      </c>
      <c r="D50" s="576">
        <v>223.73</v>
      </c>
      <c r="E50" s="576">
        <f>1000+37.9</f>
        <v>1037.9000000000001</v>
      </c>
      <c r="F50" s="606">
        <f>C50+D50-E50</f>
        <v>224749.67999999993</v>
      </c>
      <c r="G50" s="590"/>
      <c r="H50" s="613"/>
      <c r="I50" s="79"/>
    </row>
    <row r="51" spans="1:16" ht="12.75" thickBot="1" x14ac:dyDescent="0.25">
      <c r="A51" s="811"/>
      <c r="B51" s="812"/>
      <c r="C51" s="617">
        <f>SUM(C45+C46+C49+C50+C48+C47)</f>
        <v>448416.99</v>
      </c>
      <c r="D51" s="618">
        <f>SUM(D45:D50)</f>
        <v>182284.77</v>
      </c>
      <c r="E51" s="618">
        <f>SUM(E45:E50)</f>
        <v>44371.15</v>
      </c>
      <c r="F51" s="606">
        <f>C51+D51-E51</f>
        <v>586330.61</v>
      </c>
      <c r="G51" s="590"/>
      <c r="H51" s="603"/>
      <c r="I51" s="79"/>
      <c r="J51" s="266"/>
    </row>
    <row r="52" spans="1:16" ht="12" x14ac:dyDescent="0.2">
      <c r="A52" s="591"/>
      <c r="B52" s="592"/>
      <c r="C52" s="590">
        <f>C40-C51</f>
        <v>-0.19000000000232831</v>
      </c>
      <c r="D52" s="590"/>
      <c r="E52" s="590"/>
      <c r="F52" s="590">
        <f>F40-F51</f>
        <v>-0.30999999993946403</v>
      </c>
      <c r="G52" s="522"/>
      <c r="H52" s="590"/>
      <c r="I52" s="331"/>
      <c r="J52" s="331"/>
      <c r="K52" s="266"/>
    </row>
    <row r="53" spans="1:16" ht="12" x14ac:dyDescent="0.2">
      <c r="A53" s="522"/>
      <c r="B53" s="599"/>
      <c r="C53" s="590"/>
      <c r="D53" s="590"/>
      <c r="E53" s="590"/>
      <c r="F53" s="590"/>
      <c r="G53" s="590"/>
      <c r="H53" s="590"/>
      <c r="I53" s="331"/>
    </row>
    <row r="54" spans="1:16" ht="12" x14ac:dyDescent="0.2">
      <c r="A54" s="813" t="s">
        <v>17</v>
      </c>
      <c r="B54" s="813"/>
      <c r="C54" s="813"/>
      <c r="D54" s="813"/>
      <c r="E54" s="814" t="s">
        <v>18</v>
      </c>
      <c r="F54" s="814"/>
      <c r="G54" s="590"/>
      <c r="H54" s="590"/>
      <c r="J54" s="331"/>
    </row>
    <row r="55" spans="1:16" ht="12" x14ac:dyDescent="0.2">
      <c r="A55" s="522"/>
      <c r="B55" s="522"/>
      <c r="C55" s="590"/>
      <c r="D55" s="590"/>
      <c r="E55" s="590"/>
      <c r="F55" s="590"/>
      <c r="G55" s="590"/>
      <c r="H55" s="590"/>
    </row>
    <row r="56" spans="1:16" ht="12" x14ac:dyDescent="0.2">
      <c r="A56" s="813" t="s">
        <v>19</v>
      </c>
      <c r="B56" s="813"/>
      <c r="C56" s="813"/>
      <c r="D56" s="813"/>
      <c r="E56" s="814" t="s">
        <v>18</v>
      </c>
      <c r="F56" s="814"/>
      <c r="G56" s="590"/>
      <c r="H56" s="590"/>
    </row>
    <row r="57" spans="1:16" ht="12" x14ac:dyDescent="0.2">
      <c r="A57" s="591"/>
      <c r="B57" s="592"/>
      <c r="C57" s="524"/>
      <c r="D57" s="524"/>
      <c r="E57" s="524"/>
      <c r="F57" s="613"/>
      <c r="G57" s="524"/>
      <c r="H57" s="524"/>
      <c r="I57" s="331"/>
      <c r="J57" s="79"/>
      <c r="P57" s="364"/>
    </row>
    <row r="58" spans="1:16" ht="12" x14ac:dyDescent="0.2">
      <c r="A58" s="522"/>
      <c r="B58" s="599"/>
      <c r="C58" s="603"/>
      <c r="D58" s="603"/>
      <c r="E58" s="603"/>
      <c r="H58" s="522"/>
      <c r="I58" s="331"/>
      <c r="J58" s="343"/>
      <c r="L58" s="266"/>
      <c r="P58" s="364"/>
    </row>
    <row r="59" spans="1:16" x14ac:dyDescent="0.2">
      <c r="B59" s="340"/>
      <c r="C59" s="79"/>
      <c r="D59" s="331"/>
      <c r="J59" s="331"/>
    </row>
  </sheetData>
  <mergeCells count="17">
    <mergeCell ref="A49:B49"/>
    <mergeCell ref="A2:G2"/>
    <mergeCell ref="A3:G3"/>
    <mergeCell ref="A5:B5"/>
    <mergeCell ref="A6:B6"/>
    <mergeCell ref="A17:B17"/>
    <mergeCell ref="A23:B23"/>
    <mergeCell ref="A33:B33"/>
    <mergeCell ref="A40:B40"/>
    <mergeCell ref="A44:B44"/>
    <mergeCell ref="A45:B45"/>
    <mergeCell ref="A46:B46"/>
    <mergeCell ref="A51:B51"/>
    <mergeCell ref="A54:D54"/>
    <mergeCell ref="E54:F54"/>
    <mergeCell ref="A56:D56"/>
    <mergeCell ref="E56:F56"/>
  </mergeCells>
  <pageMargins left="0.7" right="0.7" top="0.75" bottom="0.75" header="0.3" footer="0.3"/>
  <pageSetup scale="95" orientation="portrait" r:id="rId1"/>
  <legacy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52193-46CA-4612-8EF3-74F776C91781}">
  <sheetPr>
    <pageSetUpPr fitToPage="1"/>
  </sheetPr>
  <dimension ref="A1:R59"/>
  <sheetViews>
    <sheetView topLeftCell="A2" zoomScale="120" zoomScaleNormal="120" workbookViewId="0">
      <selection activeCell="E8" sqref="E8"/>
    </sheetView>
  </sheetViews>
  <sheetFormatPr defaultColWidth="9.140625" defaultRowHeight="11.25" x14ac:dyDescent="0.2"/>
  <cols>
    <col min="1" max="1" width="10.7109375" style="619" customWidth="1"/>
    <col min="2" max="2" width="26" style="619" customWidth="1"/>
    <col min="3" max="3" width="10" style="619" customWidth="1"/>
    <col min="4" max="4" width="8.85546875" style="619" customWidth="1"/>
    <col min="5" max="5" width="8.7109375" style="619" customWidth="1"/>
    <col min="6" max="6" width="10.28515625" style="619" customWidth="1"/>
    <col min="7" max="7" width="8.85546875" style="619" customWidth="1"/>
    <col min="8" max="8" width="13.7109375" style="619" customWidth="1"/>
    <col min="9" max="9" width="14.7109375" style="619" customWidth="1"/>
    <col min="10" max="10" width="14.5703125" style="619" customWidth="1"/>
    <col min="11" max="11" width="11.28515625" style="619" customWidth="1"/>
    <col min="12" max="15" width="9.140625" style="619"/>
    <col min="16" max="16" width="13" style="619" customWidth="1"/>
    <col min="17" max="16384" width="9.140625" style="619"/>
  </cols>
  <sheetData>
    <row r="1" spans="1:18" hidden="1" x14ac:dyDescent="0.2"/>
    <row r="2" spans="1:18" ht="12" x14ac:dyDescent="0.2">
      <c r="A2" s="817" t="s">
        <v>0</v>
      </c>
      <c r="B2" s="817"/>
      <c r="C2" s="817"/>
      <c r="D2" s="817"/>
      <c r="E2" s="817"/>
      <c r="F2" s="817"/>
      <c r="G2" s="817"/>
      <c r="H2" s="624"/>
    </row>
    <row r="3" spans="1:18" ht="12" x14ac:dyDescent="0.2">
      <c r="A3" s="818" t="s">
        <v>136</v>
      </c>
      <c r="B3" s="818"/>
      <c r="C3" s="818"/>
      <c r="D3" s="818"/>
      <c r="E3" s="818"/>
      <c r="F3" s="818"/>
      <c r="G3" s="818"/>
      <c r="H3" s="526" t="s">
        <v>133</v>
      </c>
      <c r="I3" s="622"/>
    </row>
    <row r="4" spans="1:18" ht="12.75" thickBot="1" x14ac:dyDescent="0.25">
      <c r="A4" s="622"/>
      <c r="B4" s="523" t="s">
        <v>37</v>
      </c>
      <c r="C4" s="622"/>
      <c r="D4" s="622"/>
      <c r="E4" s="622"/>
      <c r="F4" s="524"/>
      <c r="G4" s="622"/>
      <c r="H4" s="530" t="s">
        <v>134</v>
      </c>
    </row>
    <row r="5" spans="1:18" ht="15.75" customHeight="1" x14ac:dyDescent="0.2">
      <c r="A5" s="819" t="s">
        <v>1</v>
      </c>
      <c r="B5" s="820"/>
      <c r="C5" s="525" t="s">
        <v>2</v>
      </c>
      <c r="D5" s="525" t="s">
        <v>3</v>
      </c>
      <c r="E5" s="525" t="s">
        <v>58</v>
      </c>
      <c r="F5" s="525" t="s">
        <v>5</v>
      </c>
      <c r="G5" s="525" t="s">
        <v>6</v>
      </c>
      <c r="H5" s="538" t="s">
        <v>135</v>
      </c>
    </row>
    <row r="6" spans="1:18" ht="12" x14ac:dyDescent="0.2">
      <c r="A6" s="821" t="s">
        <v>132</v>
      </c>
      <c r="B6" s="822"/>
      <c r="C6" s="527">
        <f>SUM(C7:C16)</f>
        <v>261150.71000000002</v>
      </c>
      <c r="D6" s="528">
        <f>SUM(D7:D16)</f>
        <v>2531.4499999999998</v>
      </c>
      <c r="E6" s="528">
        <f>SUM(E7:E16)</f>
        <v>-6093.2999999999984</v>
      </c>
      <c r="F6" s="528">
        <f>SUM(F7:F16)</f>
        <v>269775.45999999996</v>
      </c>
      <c r="G6" s="529">
        <f>SUM(G7:G15)</f>
        <v>0</v>
      </c>
      <c r="I6" s="273"/>
      <c r="J6" s="273"/>
      <c r="K6" s="620"/>
      <c r="P6" s="620"/>
      <c r="R6" s="620"/>
    </row>
    <row r="7" spans="1:18" ht="12" customHeight="1" x14ac:dyDescent="0.2">
      <c r="A7" s="531"/>
      <c r="B7" s="532" t="s">
        <v>23</v>
      </c>
      <c r="C7" s="533">
        <f>'March 2023'!F7</f>
        <v>248070.41</v>
      </c>
      <c r="D7" s="534">
        <v>456.36</v>
      </c>
      <c r="E7" s="535">
        <f>1000+2146.49+3825.01-16493.71</f>
        <v>-9522.2099999999991</v>
      </c>
      <c r="F7" s="536">
        <f>C7+D7-E7</f>
        <v>258048.97999999998</v>
      </c>
      <c r="G7" s="537"/>
      <c r="I7" s="620"/>
    </row>
    <row r="8" spans="1:18" ht="12" x14ac:dyDescent="0.2">
      <c r="A8" s="539"/>
      <c r="B8" s="540" t="s">
        <v>62</v>
      </c>
      <c r="C8" s="533">
        <f>'March 2023'!F8</f>
        <v>1635.5100000000025</v>
      </c>
      <c r="D8" s="541"/>
      <c r="E8" s="541">
        <v>2683.86</v>
      </c>
      <c r="F8" s="542">
        <f t="shared" ref="F8:F15" si="0">C8+D8-E8</f>
        <v>-1048.3499999999976</v>
      </c>
      <c r="G8" s="537"/>
      <c r="H8" s="543"/>
      <c r="I8" s="287"/>
    </row>
    <row r="9" spans="1:18" ht="12" hidden="1" x14ac:dyDescent="0.2">
      <c r="A9" s="539"/>
      <c r="B9" s="544" t="s">
        <v>67</v>
      </c>
      <c r="C9" s="533">
        <f>'March 2023'!F9</f>
        <v>0</v>
      </c>
      <c r="D9" s="541"/>
      <c r="E9" s="541"/>
      <c r="F9" s="536">
        <f t="shared" si="0"/>
        <v>0</v>
      </c>
      <c r="G9" s="537"/>
      <c r="H9" s="543"/>
      <c r="I9" s="289"/>
      <c r="J9" s="620"/>
    </row>
    <row r="10" spans="1:18" ht="12" hidden="1" x14ac:dyDescent="0.2">
      <c r="A10" s="539"/>
      <c r="B10" s="544" t="s">
        <v>41</v>
      </c>
      <c r="C10" s="533">
        <f>'March 2023'!F10</f>
        <v>-1.0000000002037268E-2</v>
      </c>
      <c r="D10" s="545"/>
      <c r="E10" s="545"/>
      <c r="F10" s="542">
        <f t="shared" si="0"/>
        <v>-1.0000000002037268E-2</v>
      </c>
      <c r="G10" s="537"/>
      <c r="H10" s="543"/>
      <c r="I10" s="291"/>
      <c r="J10" s="620"/>
    </row>
    <row r="11" spans="1:18" ht="12" x14ac:dyDescent="0.2">
      <c r="A11" s="539"/>
      <c r="B11" s="544" t="s">
        <v>117</v>
      </c>
      <c r="C11" s="533">
        <f>'March 2023'!F11</f>
        <v>326</v>
      </c>
      <c r="D11" s="546"/>
      <c r="E11" s="546"/>
      <c r="F11" s="536">
        <f t="shared" si="0"/>
        <v>326</v>
      </c>
      <c r="G11" s="537"/>
      <c r="H11" s="543"/>
      <c r="I11" s="293"/>
    </row>
    <row r="12" spans="1:18" ht="12" x14ac:dyDescent="0.2">
      <c r="A12" s="539"/>
      <c r="B12" s="544" t="s">
        <v>20</v>
      </c>
      <c r="C12" s="533">
        <f>'March 2023'!F12</f>
        <v>11831.509999999998</v>
      </c>
      <c r="D12" s="547">
        <v>1941.58</v>
      </c>
      <c r="E12" s="547">
        <f>74.01+279+88.2</f>
        <v>441.21</v>
      </c>
      <c r="F12" s="548">
        <f>C12+D12-E12</f>
        <v>13331.88</v>
      </c>
      <c r="G12" s="537"/>
      <c r="H12" s="543"/>
      <c r="I12" s="620"/>
    </row>
    <row r="13" spans="1:18" ht="12" x14ac:dyDescent="0.2">
      <c r="A13" s="539"/>
      <c r="B13" s="544" t="s">
        <v>22</v>
      </c>
      <c r="C13" s="533">
        <f>'March 2023'!F13</f>
        <v>642.16999999999985</v>
      </c>
      <c r="D13" s="547">
        <v>133.51</v>
      </c>
      <c r="E13" s="547"/>
      <c r="F13" s="548">
        <f>C13+D13-E13</f>
        <v>775.67999999999984</v>
      </c>
      <c r="G13" s="537"/>
      <c r="H13" s="543"/>
      <c r="I13" s="620"/>
    </row>
    <row r="14" spans="1:18" ht="12" x14ac:dyDescent="0.2">
      <c r="A14" s="539"/>
      <c r="B14" s="544" t="s">
        <v>28</v>
      </c>
      <c r="C14" s="533">
        <f>'March 2023'!F14</f>
        <v>-129.75000000000114</v>
      </c>
      <c r="D14" s="547"/>
      <c r="E14" s="547"/>
      <c r="F14" s="542">
        <f t="shared" si="0"/>
        <v>-129.75000000000114</v>
      </c>
      <c r="G14" s="537"/>
      <c r="H14" s="543"/>
      <c r="I14" s="620"/>
    </row>
    <row r="15" spans="1:18" ht="12" x14ac:dyDescent="0.2">
      <c r="A15" s="539"/>
      <c r="B15" s="549" t="s">
        <v>42</v>
      </c>
      <c r="C15" s="533">
        <f>'March 2023'!F15</f>
        <v>-381.72999999999996</v>
      </c>
      <c r="D15" s="541"/>
      <c r="E15" s="541">
        <v>232.38</v>
      </c>
      <c r="F15" s="550">
        <f t="shared" si="0"/>
        <v>-614.1099999999999</v>
      </c>
      <c r="G15" s="537"/>
      <c r="H15" s="543"/>
      <c r="I15" s="620"/>
    </row>
    <row r="16" spans="1:18" ht="12" x14ac:dyDescent="0.2">
      <c r="A16" s="539"/>
      <c r="B16" s="549" t="s">
        <v>43</v>
      </c>
      <c r="C16" s="533">
        <f>'March 2023'!F16</f>
        <v>-843.40000000000043</v>
      </c>
      <c r="D16" s="541"/>
      <c r="E16" s="541">
        <v>71.459999999999994</v>
      </c>
      <c r="F16" s="548">
        <f>C16+D16-E16</f>
        <v>-914.86000000000047</v>
      </c>
      <c r="G16" s="537"/>
      <c r="H16" s="543"/>
      <c r="I16" s="273"/>
      <c r="P16" s="620"/>
    </row>
    <row r="17" spans="1:16" ht="12" x14ac:dyDescent="0.2">
      <c r="A17" s="823" t="s">
        <v>53</v>
      </c>
      <c r="B17" s="823"/>
      <c r="C17" s="551">
        <f>SUM(C18:C22)</f>
        <v>-1232.6000000000045</v>
      </c>
      <c r="D17" s="552">
        <f>SUM(D18:D22)</f>
        <v>5000</v>
      </c>
      <c r="E17" s="552">
        <f>SUM(E18:E22)</f>
        <v>2796.1800000000003</v>
      </c>
      <c r="F17" s="542">
        <f>SUM(F18:F22)</f>
        <v>971.21999999999571</v>
      </c>
      <c r="G17" s="553"/>
      <c r="H17" s="543"/>
      <c r="I17" s="273"/>
      <c r="P17" s="620"/>
    </row>
    <row r="18" spans="1:16" ht="12" x14ac:dyDescent="0.2">
      <c r="A18" s="554"/>
      <c r="B18" s="555" t="s">
        <v>9</v>
      </c>
      <c r="C18" s="556">
        <f>'March 2023'!F18+0.01</f>
        <v>-2.9467626255774704E-12</v>
      </c>
      <c r="D18" s="557">
        <v>5000</v>
      </c>
      <c r="E18" s="558">
        <v>1313.16</v>
      </c>
      <c r="F18" s="559">
        <f>C18+D18-E18</f>
        <v>3686.8399999999974</v>
      </c>
      <c r="G18" s="541">
        <v>5000</v>
      </c>
      <c r="H18" s="560"/>
      <c r="I18" s="620"/>
      <c r="J18" s="79"/>
    </row>
    <row r="19" spans="1:16" ht="12" x14ac:dyDescent="0.2">
      <c r="A19" s="539"/>
      <c r="B19" s="561" t="s">
        <v>8</v>
      </c>
      <c r="C19" s="556">
        <f>'March 2023'!F19</f>
        <v>-155.32000000000016</v>
      </c>
      <c r="D19" s="547"/>
      <c r="E19" s="545">
        <v>788.07</v>
      </c>
      <c r="F19" s="559">
        <f>C19+D19-E19</f>
        <v>-943.39000000000021</v>
      </c>
      <c r="G19" s="562"/>
      <c r="H19" s="560"/>
      <c r="I19" s="620"/>
    </row>
    <row r="20" spans="1:16" ht="12" x14ac:dyDescent="0.2">
      <c r="A20" s="539"/>
      <c r="B20" s="563" t="s">
        <v>32</v>
      </c>
      <c r="C20" s="556">
        <f>'March 2023'!F20</f>
        <v>-79.010000000000446</v>
      </c>
      <c r="D20" s="547"/>
      <c r="E20" s="545">
        <v>261.83999999999997</v>
      </c>
      <c r="F20" s="559">
        <f t="shared" ref="F20:F22" si="1">C20+D20-E20</f>
        <v>-340.85000000000042</v>
      </c>
      <c r="G20" s="564">
        <v>5000</v>
      </c>
      <c r="H20" s="560"/>
      <c r="I20" s="620"/>
    </row>
    <row r="21" spans="1:16" ht="12" hidden="1" x14ac:dyDescent="0.2">
      <c r="A21" s="539"/>
      <c r="B21" s="561" t="s">
        <v>67</v>
      </c>
      <c r="C21" s="556">
        <f>'March 2023'!F21</f>
        <v>-9.0951551845463996E-15</v>
      </c>
      <c r="D21" s="547"/>
      <c r="E21" s="547"/>
      <c r="F21" s="559">
        <f t="shared" si="1"/>
        <v>-9.0951551845463996E-15</v>
      </c>
      <c r="G21" s="564"/>
      <c r="H21" s="560"/>
      <c r="I21" s="620"/>
    </row>
    <row r="22" spans="1:16" ht="12" x14ac:dyDescent="0.2">
      <c r="A22" s="565"/>
      <c r="B22" s="566" t="s">
        <v>38</v>
      </c>
      <c r="C22" s="556">
        <f>'March 2023'!F22</f>
        <v>-998.270000000001</v>
      </c>
      <c r="D22" s="567"/>
      <c r="E22" s="558">
        <f>229.11+204</f>
        <v>433.11</v>
      </c>
      <c r="F22" s="559">
        <f t="shared" si="1"/>
        <v>-1431.380000000001</v>
      </c>
      <c r="G22" s="541">
        <v>8500</v>
      </c>
      <c r="H22" s="560"/>
      <c r="I22" s="620"/>
      <c r="J22" s="79"/>
    </row>
    <row r="23" spans="1:16" ht="12" x14ac:dyDescent="0.2">
      <c r="A23" s="824" t="s">
        <v>10</v>
      </c>
      <c r="B23" s="825"/>
      <c r="C23" s="551">
        <f>SUM(C24:C32)</f>
        <v>226927.31000000003</v>
      </c>
      <c r="D23" s="568">
        <f>SUM(D24:D32)</f>
        <v>0</v>
      </c>
      <c r="E23" s="569">
        <f>SUM(E24:E32)</f>
        <v>8610.15</v>
      </c>
      <c r="F23" s="569">
        <f>SUM(F24:F32)-0.08</f>
        <v>218317.08000000005</v>
      </c>
      <c r="G23" s="570">
        <f>SUM(G33:G36)</f>
        <v>70000</v>
      </c>
      <c r="H23" s="543"/>
      <c r="I23" s="273"/>
      <c r="P23" s="620"/>
    </row>
    <row r="24" spans="1:16" ht="12" hidden="1" x14ac:dyDescent="0.2">
      <c r="A24" s="554"/>
      <c r="B24" s="571" t="s">
        <v>55</v>
      </c>
      <c r="C24" s="556">
        <f>'February 2021'!G24</f>
        <v>0</v>
      </c>
      <c r="D24" s="572"/>
      <c r="E24" s="557"/>
      <c r="F24" s="573">
        <f>C24+D24-E24</f>
        <v>0</v>
      </c>
      <c r="G24" s="534"/>
      <c r="H24" s="543"/>
      <c r="I24" s="620"/>
      <c r="J24" s="319"/>
    </row>
    <row r="25" spans="1:16" ht="12" hidden="1" x14ac:dyDescent="0.2">
      <c r="A25" s="565"/>
      <c r="B25" s="549" t="s">
        <v>70</v>
      </c>
      <c r="C25" s="556">
        <f>'January 2022'!F25</f>
        <v>7.9999999998108251E-2</v>
      </c>
      <c r="D25" s="567"/>
      <c r="E25" s="567"/>
      <c r="F25" s="573">
        <f>C25+D25-E25</f>
        <v>7.9999999998108251E-2</v>
      </c>
      <c r="G25" s="541"/>
      <c r="H25" s="543"/>
      <c r="I25" s="620"/>
      <c r="J25" s="319"/>
    </row>
    <row r="26" spans="1:16" ht="12" x14ac:dyDescent="0.2">
      <c r="A26" s="531"/>
      <c r="B26" s="574" t="s">
        <v>105</v>
      </c>
      <c r="C26" s="556">
        <f>'March 2023'!F26</f>
        <v>531.88000000000739</v>
      </c>
      <c r="D26" s="558"/>
      <c r="E26" s="575">
        <v>531.9</v>
      </c>
      <c r="F26" s="573">
        <f t="shared" ref="F26:F31" si="2">C26+D26-E26</f>
        <v>-1.9999999992592166E-2</v>
      </c>
      <c r="G26" s="541"/>
      <c r="H26" s="543"/>
      <c r="I26" s="620"/>
      <c r="J26" s="620"/>
    </row>
    <row r="27" spans="1:16" ht="12" hidden="1" x14ac:dyDescent="0.2">
      <c r="A27" s="531"/>
      <c r="B27" s="574" t="s">
        <v>39</v>
      </c>
      <c r="C27" s="556">
        <f>'March 2023'!F27</f>
        <v>8.1854523159563541E-12</v>
      </c>
      <c r="D27" s="567"/>
      <c r="E27" s="558"/>
      <c r="F27" s="573">
        <f t="shared" si="2"/>
        <v>8.1854523159563541E-12</v>
      </c>
      <c r="G27" s="541"/>
      <c r="H27" s="543"/>
      <c r="I27" s="620"/>
      <c r="J27" s="620"/>
    </row>
    <row r="28" spans="1:16" ht="12" x14ac:dyDescent="0.2">
      <c r="A28" s="531"/>
      <c r="B28" s="574" t="s">
        <v>115</v>
      </c>
      <c r="C28" s="556">
        <f>'March 2023'!F28</f>
        <v>18710</v>
      </c>
      <c r="D28" s="567"/>
      <c r="E28" s="567">
        <v>319.08</v>
      </c>
      <c r="F28" s="573">
        <f t="shared" si="2"/>
        <v>18390.919999999998</v>
      </c>
      <c r="G28" s="541"/>
      <c r="H28" s="543"/>
      <c r="I28" s="620"/>
      <c r="J28" s="620"/>
    </row>
    <row r="29" spans="1:16" ht="12" hidden="1" x14ac:dyDescent="0.2">
      <c r="A29" s="531"/>
      <c r="B29" s="574" t="s">
        <v>86</v>
      </c>
      <c r="C29" s="556">
        <f>'March 2023'!F29</f>
        <v>-1.9326762412674725E-12</v>
      </c>
      <c r="D29" s="567"/>
      <c r="E29" s="567"/>
      <c r="F29" s="573">
        <f t="shared" si="2"/>
        <v>-1.9326762412674725E-12</v>
      </c>
      <c r="G29" s="541"/>
      <c r="H29" s="543"/>
      <c r="I29" s="620"/>
      <c r="J29" s="620"/>
    </row>
    <row r="30" spans="1:16" ht="12" x14ac:dyDescent="0.2">
      <c r="A30" s="531"/>
      <c r="B30" s="574" t="s">
        <v>101</v>
      </c>
      <c r="C30" s="556">
        <f>'March 2023'!F30</f>
        <v>100141.09000000001</v>
      </c>
      <c r="D30" s="567"/>
      <c r="E30" s="567">
        <v>7642.07</v>
      </c>
      <c r="F30" s="573">
        <f t="shared" si="2"/>
        <v>92499.020000000019</v>
      </c>
      <c r="G30" s="541"/>
      <c r="H30" s="543"/>
      <c r="I30" s="620"/>
      <c r="J30" s="620"/>
    </row>
    <row r="31" spans="1:16" ht="12" x14ac:dyDescent="0.2">
      <c r="A31" s="531"/>
      <c r="B31" s="574" t="s">
        <v>119</v>
      </c>
      <c r="C31" s="556">
        <f>'March 2023'!F31</f>
        <v>118184</v>
      </c>
      <c r="D31" s="567"/>
      <c r="E31" s="567"/>
      <c r="F31" s="573">
        <f t="shared" si="2"/>
        <v>118184</v>
      </c>
      <c r="G31" s="541"/>
      <c r="H31" s="543"/>
      <c r="I31" s="620"/>
      <c r="J31" s="620"/>
    </row>
    <row r="32" spans="1:16" ht="12" x14ac:dyDescent="0.2">
      <c r="A32" s="531"/>
      <c r="B32" s="549" t="s">
        <v>44</v>
      </c>
      <c r="C32" s="556">
        <f>'March 2023'!F32</f>
        <v>-10639.740000000002</v>
      </c>
      <c r="D32" s="567"/>
      <c r="E32" s="558">
        <v>117.1</v>
      </c>
      <c r="F32" s="573">
        <f>C32+D32-E32</f>
        <v>-10756.840000000002</v>
      </c>
      <c r="G32" s="541"/>
      <c r="H32" s="543"/>
      <c r="I32" s="620"/>
      <c r="J32" s="620"/>
    </row>
    <row r="33" spans="1:16" ht="12" x14ac:dyDescent="0.2">
      <c r="A33" s="826" t="s">
        <v>35</v>
      </c>
      <c r="B33" s="827"/>
      <c r="C33" s="551">
        <f>SUM(C34:C39)</f>
        <v>99484.97</v>
      </c>
      <c r="D33" s="568">
        <f>SUM(D34:D39)</f>
        <v>0</v>
      </c>
      <c r="E33" s="569">
        <f>SUM(E34:E39)</f>
        <v>1636.37</v>
      </c>
      <c r="F33" s="569">
        <f>SUM(F34:F39)</f>
        <v>97848.6</v>
      </c>
      <c r="G33" s="570">
        <f>SUM(G34:G36)</f>
        <v>35000</v>
      </c>
      <c r="H33" s="543"/>
      <c r="I33" s="273"/>
      <c r="P33" s="620"/>
    </row>
    <row r="34" spans="1:16" ht="12" x14ac:dyDescent="0.2">
      <c r="A34" s="565"/>
      <c r="B34" s="549" t="s">
        <v>125</v>
      </c>
      <c r="C34" s="556">
        <f>'March 2023'!F34</f>
        <v>31719.460000000003</v>
      </c>
      <c r="D34" s="576"/>
      <c r="E34" s="577">
        <v>196.38</v>
      </c>
      <c r="F34" s="578">
        <f>C34+D34-E34</f>
        <v>31523.08</v>
      </c>
      <c r="G34" s="541"/>
      <c r="H34" s="543"/>
      <c r="I34" s="620"/>
      <c r="J34" s="319"/>
    </row>
    <row r="35" spans="1:16" ht="12" x14ac:dyDescent="0.2">
      <c r="A35" s="565"/>
      <c r="B35" s="549" t="s">
        <v>90</v>
      </c>
      <c r="C35" s="556">
        <f>'March 2023'!F35</f>
        <v>20691.580000000009</v>
      </c>
      <c r="D35" s="576"/>
      <c r="E35" s="577"/>
      <c r="F35" s="578">
        <f t="shared" ref="F35" si="3">C35+D35-E35</f>
        <v>20691.580000000009</v>
      </c>
      <c r="G35" s="541">
        <v>35000</v>
      </c>
      <c r="H35" s="543"/>
      <c r="I35" s="620"/>
      <c r="J35" s="319"/>
    </row>
    <row r="36" spans="1:16" ht="12" x14ac:dyDescent="0.2">
      <c r="A36" s="565"/>
      <c r="B36" s="579" t="s">
        <v>120</v>
      </c>
      <c r="C36" s="556">
        <f>'March 2023'!F36</f>
        <v>22962.28</v>
      </c>
      <c r="D36" s="576"/>
      <c r="E36" s="558">
        <v>32.729999999999997</v>
      </c>
      <c r="F36" s="578">
        <f>C36+D36-E36</f>
        <v>22929.55</v>
      </c>
      <c r="G36" s="541"/>
      <c r="H36" s="543"/>
      <c r="I36" s="293"/>
      <c r="J36" s="266"/>
      <c r="P36" s="326"/>
    </row>
    <row r="37" spans="1:16" ht="12" x14ac:dyDescent="0.2">
      <c r="A37" s="622"/>
      <c r="B37" s="622" t="s">
        <v>99</v>
      </c>
      <c r="C37" s="556">
        <f>'March 2023'!F37</f>
        <v>10550</v>
      </c>
      <c r="D37" s="580"/>
      <c r="E37" s="622"/>
      <c r="F37" s="578">
        <f>C37+D37-E37</f>
        <v>10550</v>
      </c>
      <c r="G37" s="622"/>
      <c r="H37" s="622"/>
    </row>
    <row r="38" spans="1:16" ht="12" x14ac:dyDescent="0.2">
      <c r="A38" s="622"/>
      <c r="B38" s="622" t="s">
        <v>131</v>
      </c>
      <c r="C38" s="556">
        <f>'March 2023'!F38</f>
        <v>14175</v>
      </c>
      <c r="D38" s="582"/>
      <c r="E38" s="622">
        <v>130.91999999999999</v>
      </c>
      <c r="F38" s="578">
        <f>C38+D38-E38</f>
        <v>14044.08</v>
      </c>
      <c r="G38" s="622"/>
      <c r="H38" s="622"/>
    </row>
    <row r="39" spans="1:16" ht="12.75" thickBot="1" x14ac:dyDescent="0.25">
      <c r="A39" s="622"/>
      <c r="B39" s="583" t="s">
        <v>111</v>
      </c>
      <c r="C39" s="626">
        <f>'March 2023'!F39</f>
        <v>-613.35</v>
      </c>
      <c r="D39" s="584"/>
      <c r="E39" s="622">
        <v>1276.3399999999999</v>
      </c>
      <c r="F39" s="578">
        <f>C39+D39-E39</f>
        <v>-1889.69</v>
      </c>
      <c r="G39" s="622"/>
      <c r="H39" s="622"/>
    </row>
    <row r="40" spans="1:16" ht="12.75" thickBot="1" x14ac:dyDescent="0.25">
      <c r="A40" s="828" t="s">
        <v>11</v>
      </c>
      <c r="B40" s="812"/>
      <c r="C40" s="585">
        <f>C33+C23+C17+C6</f>
        <v>586330.39000000013</v>
      </c>
      <c r="D40" s="627">
        <f>SUM(D23,D17,D6,D33)</f>
        <v>7531.45</v>
      </c>
      <c r="E40" s="587">
        <f>SUM(E23,E17,E6,E33)</f>
        <v>6949.4000000000015</v>
      </c>
      <c r="F40" s="588">
        <f>SUM(F23,F17,F6,F33)</f>
        <v>586912.36</v>
      </c>
      <c r="G40" s="589">
        <f>SUM(G6,G16,G23,G33)</f>
        <v>105000</v>
      </c>
      <c r="H40" s="623"/>
      <c r="I40" s="620"/>
      <c r="J40" s="331"/>
    </row>
    <row r="41" spans="1:16" ht="12" hidden="1" x14ac:dyDescent="0.2">
      <c r="A41" s="625"/>
      <c r="B41" s="621"/>
      <c r="C41" s="623">
        <f>SUM(C17:C22)</f>
        <v>-2465.2000000000089</v>
      </c>
      <c r="D41" s="623"/>
      <c r="E41" s="623"/>
      <c r="F41" s="623"/>
      <c r="G41" s="593"/>
      <c r="H41" s="623"/>
      <c r="K41" s="619" t="s">
        <v>12</v>
      </c>
      <c r="L41" s="619">
        <v>42.43</v>
      </c>
    </row>
    <row r="42" spans="1:16" ht="12.75" hidden="1" thickBot="1" x14ac:dyDescent="0.25">
      <c r="A42" s="594" t="s">
        <v>25</v>
      </c>
      <c r="B42" s="595"/>
      <c r="C42" s="596" t="e">
        <f>SUM(C40,#REF!)</f>
        <v>#REF!</v>
      </c>
      <c r="D42" s="597" t="e">
        <f>SUM(D40,#REF!)</f>
        <v>#REF!</v>
      </c>
      <c r="E42" s="597" t="e">
        <f>SUM(E40,#REF!)</f>
        <v>#REF!</v>
      </c>
      <c r="F42" s="598" t="e">
        <f>SUM(F40,#REF!)</f>
        <v>#REF!</v>
      </c>
      <c r="G42" s="593"/>
      <c r="H42" s="623"/>
      <c r="I42" s="331"/>
      <c r="J42" s="79">
        <v>206730.35</v>
      </c>
    </row>
    <row r="43" spans="1:16" ht="12.75" thickBot="1" x14ac:dyDescent="0.25">
      <c r="A43" s="622"/>
      <c r="B43" s="599"/>
      <c r="C43" s="623"/>
      <c r="D43" s="623"/>
      <c r="E43" s="623"/>
      <c r="F43" s="623"/>
      <c r="G43" s="593"/>
      <c r="H43" s="600"/>
      <c r="I43" s="331"/>
      <c r="J43" s="79"/>
      <c r="P43" s="620"/>
    </row>
    <row r="44" spans="1:16" ht="12.75" thickBot="1" x14ac:dyDescent="0.25">
      <c r="A44" s="829" t="s">
        <v>13</v>
      </c>
      <c r="B44" s="830"/>
      <c r="C44" s="601" t="s">
        <v>2</v>
      </c>
      <c r="D44" s="601" t="s">
        <v>3</v>
      </c>
      <c r="E44" s="601" t="s">
        <v>27</v>
      </c>
      <c r="F44" s="601" t="s">
        <v>5</v>
      </c>
      <c r="G44" s="602"/>
      <c r="H44" s="603"/>
      <c r="I44" s="343"/>
    </row>
    <row r="45" spans="1:16" ht="12.75" thickBot="1" x14ac:dyDescent="0.25">
      <c r="A45" s="815" t="s">
        <v>14</v>
      </c>
      <c r="B45" s="816"/>
      <c r="C45" s="604">
        <f>'March 2023'!F45</f>
        <v>192.90999999999997</v>
      </c>
      <c r="D45" s="605"/>
      <c r="E45" s="605"/>
      <c r="F45" s="606">
        <f>C45+D45-E45</f>
        <v>192.90999999999997</v>
      </c>
      <c r="G45" s="623"/>
      <c r="H45" s="622"/>
      <c r="I45" s="331"/>
      <c r="J45" s="79"/>
    </row>
    <row r="46" spans="1:16" ht="12.75" thickBot="1" x14ac:dyDescent="0.25">
      <c r="A46" s="831" t="s">
        <v>15</v>
      </c>
      <c r="B46" s="832"/>
      <c r="C46" s="604">
        <f>'March 2023'!F46</f>
        <v>14708.250000000015</v>
      </c>
      <c r="D46" s="607">
        <v>74000</v>
      </c>
      <c r="E46" s="607">
        <v>11426</v>
      </c>
      <c r="F46" s="606">
        <f>C46+D46-E46</f>
        <v>77282.250000000015</v>
      </c>
      <c r="G46" s="623"/>
      <c r="H46" s="608"/>
      <c r="I46" s="331"/>
    </row>
    <row r="47" spans="1:16" ht="12.75" thickBot="1" x14ac:dyDescent="0.25">
      <c r="A47" s="609"/>
      <c r="B47" s="610" t="s">
        <v>21</v>
      </c>
      <c r="C47" s="604">
        <f>'March 2023'!F47</f>
        <v>0</v>
      </c>
      <c r="D47" s="611"/>
      <c r="E47" s="611"/>
      <c r="F47" s="606">
        <f t="shared" ref="F47:F49" si="4">C47+D47-E47</f>
        <v>0</v>
      </c>
      <c r="G47" s="623"/>
      <c r="H47" s="608"/>
      <c r="I47" s="79"/>
    </row>
    <row r="48" spans="1:16" ht="12.75" thickBot="1" x14ac:dyDescent="0.25">
      <c r="A48" s="609"/>
      <c r="B48" s="610" t="s">
        <v>40</v>
      </c>
      <c r="C48" s="604">
        <f>'March 2023'!F48</f>
        <v>-886.91000000000133</v>
      </c>
      <c r="D48" s="612">
        <v>385.39</v>
      </c>
      <c r="E48" s="612">
        <f>3812.02-0.04</f>
        <v>3811.98</v>
      </c>
      <c r="F48" s="606">
        <f>C48+D48-E48</f>
        <v>-4313.5000000000018</v>
      </c>
      <c r="G48" s="623"/>
      <c r="H48" s="613"/>
      <c r="I48" s="79"/>
    </row>
    <row r="49" spans="1:16" ht="12.75" thickBot="1" x14ac:dyDescent="0.25">
      <c r="A49" s="815" t="s">
        <v>16</v>
      </c>
      <c r="B49" s="816"/>
      <c r="C49" s="604">
        <f>'March 2023'!F49</f>
        <v>347566.68000000005</v>
      </c>
      <c r="D49" s="614">
        <v>16221.19</v>
      </c>
      <c r="E49" s="614">
        <v>74000</v>
      </c>
      <c r="F49" s="606">
        <f t="shared" si="4"/>
        <v>289787.87000000005</v>
      </c>
      <c r="G49" s="623"/>
      <c r="H49" s="613"/>
      <c r="I49" s="79"/>
    </row>
    <row r="50" spans="1:16" ht="12.75" thickBot="1" x14ac:dyDescent="0.25">
      <c r="A50" s="615" t="s">
        <v>46</v>
      </c>
      <c r="B50" s="616"/>
      <c r="C50" s="604">
        <f>'March 2023'!F50</f>
        <v>224749.67999999993</v>
      </c>
      <c r="D50" s="576">
        <v>213.47</v>
      </c>
      <c r="E50" s="576">
        <v>1000</v>
      </c>
      <c r="F50" s="606">
        <f>C50+D50-E50</f>
        <v>223963.14999999994</v>
      </c>
      <c r="G50" s="623"/>
      <c r="H50" s="613"/>
      <c r="I50" s="79"/>
    </row>
    <row r="51" spans="1:16" ht="12.75" thickBot="1" x14ac:dyDescent="0.25">
      <c r="A51" s="811"/>
      <c r="B51" s="812"/>
      <c r="C51" s="617">
        <f>SUM(C45+C46+C49+C50+C48+C47)</f>
        <v>586330.61</v>
      </c>
      <c r="D51" s="618">
        <f>SUM(D45:D50)</f>
        <v>90820.05</v>
      </c>
      <c r="E51" s="618">
        <f>SUM(E45:E50)</f>
        <v>90237.98</v>
      </c>
      <c r="F51" s="606">
        <f>C51+D51-E51</f>
        <v>586912.68000000005</v>
      </c>
      <c r="G51" s="623"/>
      <c r="H51" s="603"/>
      <c r="I51" s="79"/>
      <c r="J51" s="266"/>
    </row>
    <row r="52" spans="1:16" ht="12" x14ac:dyDescent="0.2">
      <c r="A52" s="625"/>
      <c r="B52" s="621"/>
      <c r="C52" s="623">
        <f>C40-C51</f>
        <v>-0.219999999855645</v>
      </c>
      <c r="D52" s="623"/>
      <c r="E52" s="623"/>
      <c r="F52" s="623">
        <f>F40-F51</f>
        <v>-0.32000000006519258</v>
      </c>
      <c r="G52" s="622"/>
      <c r="H52" s="623"/>
      <c r="I52" s="331"/>
      <c r="J52" s="331"/>
      <c r="K52" s="266"/>
    </row>
    <row r="53" spans="1:16" ht="12" x14ac:dyDescent="0.2">
      <c r="A53" s="622"/>
      <c r="B53" s="599"/>
      <c r="C53" s="623"/>
      <c r="D53" s="623"/>
      <c r="E53" s="623"/>
      <c r="F53" s="623"/>
      <c r="G53" s="623"/>
      <c r="H53" s="623"/>
      <c r="I53" s="331"/>
    </row>
    <row r="54" spans="1:16" ht="12" x14ac:dyDescent="0.2">
      <c r="A54" s="813" t="s">
        <v>17</v>
      </c>
      <c r="B54" s="813"/>
      <c r="C54" s="813"/>
      <c r="D54" s="813"/>
      <c r="E54" s="814" t="s">
        <v>18</v>
      </c>
      <c r="F54" s="814"/>
      <c r="G54" s="623"/>
      <c r="H54" s="623"/>
      <c r="J54" s="331"/>
    </row>
    <row r="55" spans="1:16" ht="12" x14ac:dyDescent="0.2">
      <c r="A55" s="622"/>
      <c r="B55" s="622"/>
      <c r="C55" s="623"/>
      <c r="D55" s="623"/>
      <c r="E55" s="623"/>
      <c r="F55" s="623"/>
      <c r="G55" s="623"/>
      <c r="H55" s="623"/>
    </row>
    <row r="56" spans="1:16" ht="12" x14ac:dyDescent="0.2">
      <c r="A56" s="813" t="s">
        <v>19</v>
      </c>
      <c r="B56" s="813"/>
      <c r="C56" s="813"/>
      <c r="D56" s="813"/>
      <c r="E56" s="814" t="s">
        <v>18</v>
      </c>
      <c r="F56" s="814"/>
      <c r="G56" s="623"/>
      <c r="H56" s="623"/>
    </row>
    <row r="57" spans="1:16" ht="12" x14ac:dyDescent="0.2">
      <c r="A57" s="625"/>
      <c r="B57" s="621"/>
      <c r="C57" s="524"/>
      <c r="D57" s="524"/>
      <c r="E57" s="524"/>
      <c r="F57" s="613"/>
      <c r="G57" s="524"/>
      <c r="H57" s="524"/>
      <c r="I57" s="331"/>
      <c r="J57" s="79"/>
      <c r="P57" s="364"/>
    </row>
    <row r="58" spans="1:16" ht="12" x14ac:dyDescent="0.2">
      <c r="A58" s="622"/>
      <c r="B58" s="599"/>
      <c r="C58" s="603"/>
      <c r="D58" s="603"/>
      <c r="E58" s="603"/>
      <c r="H58" s="622"/>
      <c r="I58" s="331"/>
      <c r="J58" s="343"/>
      <c r="L58" s="266"/>
      <c r="P58" s="364"/>
    </row>
    <row r="59" spans="1:16" x14ac:dyDescent="0.2">
      <c r="B59" s="340"/>
      <c r="C59" s="79"/>
      <c r="D59" s="331"/>
      <c r="J59" s="331"/>
    </row>
  </sheetData>
  <mergeCells count="17">
    <mergeCell ref="A49:B49"/>
    <mergeCell ref="A2:G2"/>
    <mergeCell ref="A3:G3"/>
    <mergeCell ref="A5:B5"/>
    <mergeCell ref="A6:B6"/>
    <mergeCell ref="A17:B17"/>
    <mergeCell ref="A23:B23"/>
    <mergeCell ref="A33:B33"/>
    <mergeCell ref="A40:B40"/>
    <mergeCell ref="A44:B44"/>
    <mergeCell ref="A45:B45"/>
    <mergeCell ref="A46:B46"/>
    <mergeCell ref="A51:B51"/>
    <mergeCell ref="A54:D54"/>
    <mergeCell ref="E54:F54"/>
    <mergeCell ref="A56:D56"/>
    <mergeCell ref="E56:F56"/>
  </mergeCells>
  <pageMargins left="0.7" right="0.7" top="0.75" bottom="0.75" header="0.3" footer="0.3"/>
  <pageSetup scale="93" orientation="portrait" r:id="rId1"/>
  <legacy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DFF50-A328-462A-A064-66B0136082F5}">
  <sheetPr>
    <pageSetUpPr fitToPage="1"/>
  </sheetPr>
  <dimension ref="A1:R59"/>
  <sheetViews>
    <sheetView topLeftCell="A5" zoomScale="130" zoomScaleNormal="130" workbookViewId="0">
      <selection activeCell="E8" sqref="E8"/>
    </sheetView>
  </sheetViews>
  <sheetFormatPr defaultColWidth="9.140625" defaultRowHeight="11.25" x14ac:dyDescent="0.2"/>
  <cols>
    <col min="1" max="1" width="10.7109375" style="628" customWidth="1"/>
    <col min="2" max="2" width="26" style="628" customWidth="1"/>
    <col min="3" max="3" width="10" style="628" customWidth="1"/>
    <col min="4" max="4" width="8.85546875" style="628" customWidth="1"/>
    <col min="5" max="5" width="8.7109375" style="628" customWidth="1"/>
    <col min="6" max="6" width="10.28515625" style="628" customWidth="1"/>
    <col min="7" max="7" width="8.85546875" style="628" customWidth="1"/>
    <col min="8" max="8" width="13.85546875" style="628" customWidth="1"/>
    <col min="9" max="9" width="14.7109375" style="628" customWidth="1"/>
    <col min="10" max="10" width="14.5703125" style="628" customWidth="1"/>
    <col min="11" max="11" width="11.28515625" style="628" customWidth="1"/>
    <col min="12" max="15" width="9.140625" style="628"/>
    <col min="16" max="16" width="13" style="628" customWidth="1"/>
    <col min="17" max="16384" width="9.140625" style="628"/>
  </cols>
  <sheetData>
    <row r="1" spans="1:18" hidden="1" x14ac:dyDescent="0.2"/>
    <row r="2" spans="1:18" ht="12" x14ac:dyDescent="0.2">
      <c r="A2" s="817" t="s">
        <v>0</v>
      </c>
      <c r="B2" s="817"/>
      <c r="C2" s="817"/>
      <c r="D2" s="817"/>
      <c r="E2" s="817"/>
      <c r="F2" s="817"/>
      <c r="G2" s="817"/>
      <c r="H2" s="633"/>
    </row>
    <row r="3" spans="1:18" ht="12" x14ac:dyDescent="0.2">
      <c r="A3" s="818" t="s">
        <v>137</v>
      </c>
      <c r="B3" s="818"/>
      <c r="C3" s="818"/>
      <c r="D3" s="818"/>
      <c r="E3" s="818"/>
      <c r="F3" s="818"/>
      <c r="G3" s="818"/>
      <c r="H3" s="526" t="s">
        <v>133</v>
      </c>
      <c r="I3" s="631"/>
    </row>
    <row r="4" spans="1:18" ht="12.75" thickBot="1" x14ac:dyDescent="0.25">
      <c r="A4" s="631"/>
      <c r="B4" s="523" t="s">
        <v>37</v>
      </c>
      <c r="C4" s="631"/>
      <c r="D4" s="631"/>
      <c r="E4" s="631"/>
      <c r="F4" s="524"/>
      <c r="G4" s="631"/>
      <c r="H4" s="530" t="s">
        <v>134</v>
      </c>
    </row>
    <row r="5" spans="1:18" ht="15.75" customHeight="1" x14ac:dyDescent="0.2">
      <c r="A5" s="819" t="s">
        <v>1</v>
      </c>
      <c r="B5" s="820"/>
      <c r="C5" s="525" t="s">
        <v>2</v>
      </c>
      <c r="D5" s="525" t="s">
        <v>3</v>
      </c>
      <c r="E5" s="525" t="s">
        <v>58</v>
      </c>
      <c r="F5" s="525" t="s">
        <v>5</v>
      </c>
      <c r="G5" s="525" t="s">
        <v>6</v>
      </c>
      <c r="H5" s="538" t="s">
        <v>135</v>
      </c>
    </row>
    <row r="6" spans="1:18" ht="12" x14ac:dyDescent="0.2">
      <c r="A6" s="821" t="s">
        <v>132</v>
      </c>
      <c r="B6" s="822"/>
      <c r="C6" s="527">
        <f>SUM(C7:C16)</f>
        <v>269775.45999999996</v>
      </c>
      <c r="D6" s="528">
        <f>SUM(D7:D16)</f>
        <v>2697.81</v>
      </c>
      <c r="E6" s="528">
        <f>SUM(E7:E16)</f>
        <v>38319.159999999996</v>
      </c>
      <c r="F6" s="528">
        <f>SUM(F7:F16)</f>
        <v>234154.11</v>
      </c>
      <c r="G6" s="529">
        <f>SUM(G7:G15)</f>
        <v>0</v>
      </c>
      <c r="I6" s="273"/>
      <c r="J6" s="273"/>
      <c r="K6" s="629"/>
      <c r="P6" s="629"/>
      <c r="R6" s="629"/>
    </row>
    <row r="7" spans="1:18" ht="12" customHeight="1" x14ac:dyDescent="0.2">
      <c r="A7" s="531"/>
      <c r="B7" s="532" t="s">
        <v>23</v>
      </c>
      <c r="C7" s="533">
        <f>'April 2023'!F7</f>
        <v>258048.97999999998</v>
      </c>
      <c r="D7" s="534">
        <f>196+492.51</f>
        <v>688.51</v>
      </c>
      <c r="E7" s="535">
        <f>1000+59.05+60+635.42+40900+2531.38-15667.4</f>
        <v>29518.449999999997</v>
      </c>
      <c r="F7" s="536">
        <f>C7+D7-E7</f>
        <v>229219.03999999998</v>
      </c>
      <c r="G7" s="537"/>
      <c r="I7" s="629"/>
    </row>
    <row r="8" spans="1:18" ht="12" x14ac:dyDescent="0.2">
      <c r="A8" s="539"/>
      <c r="B8" s="540" t="s">
        <v>62</v>
      </c>
      <c r="C8" s="533">
        <f>'April 2023'!F8</f>
        <v>-1048.3499999999976</v>
      </c>
      <c r="D8" s="541"/>
      <c r="E8" s="541">
        <v>376.4</v>
      </c>
      <c r="F8" s="542">
        <f t="shared" ref="F8:F15" si="0">C8+D8-E8</f>
        <v>-1424.7499999999977</v>
      </c>
      <c r="G8" s="537"/>
      <c r="H8" s="543"/>
      <c r="I8" s="287"/>
    </row>
    <row r="9" spans="1:18" ht="12" hidden="1" x14ac:dyDescent="0.2">
      <c r="A9" s="539"/>
      <c r="B9" s="544" t="s">
        <v>67</v>
      </c>
      <c r="C9" s="533">
        <f>'April 2023'!F9</f>
        <v>0</v>
      </c>
      <c r="D9" s="541"/>
      <c r="E9" s="541"/>
      <c r="F9" s="536">
        <f t="shared" si="0"/>
        <v>0</v>
      </c>
      <c r="G9" s="537"/>
      <c r="H9" s="543"/>
      <c r="I9" s="289"/>
      <c r="J9" s="629"/>
    </row>
    <row r="10" spans="1:18" ht="12" hidden="1" x14ac:dyDescent="0.2">
      <c r="A10" s="539"/>
      <c r="B10" s="544" t="s">
        <v>41</v>
      </c>
      <c r="C10" s="533">
        <f>'April 2023'!F10</f>
        <v>-1.0000000002037268E-2</v>
      </c>
      <c r="D10" s="545"/>
      <c r="E10" s="545"/>
      <c r="F10" s="542">
        <f t="shared" si="0"/>
        <v>-1.0000000002037268E-2</v>
      </c>
      <c r="G10" s="537"/>
      <c r="H10" s="543"/>
      <c r="I10" s="291"/>
      <c r="J10" s="629"/>
    </row>
    <row r="11" spans="1:18" ht="12" x14ac:dyDescent="0.2">
      <c r="A11" s="539"/>
      <c r="B11" s="544" t="s">
        <v>117</v>
      </c>
      <c r="C11" s="533">
        <f>'April 2023'!F11</f>
        <v>326</v>
      </c>
      <c r="D11" s="546"/>
      <c r="E11" s="546"/>
      <c r="F11" s="536">
        <f t="shared" si="0"/>
        <v>326</v>
      </c>
      <c r="G11" s="537"/>
      <c r="H11" s="543"/>
      <c r="I11" s="293"/>
    </row>
    <row r="12" spans="1:18" ht="12" x14ac:dyDescent="0.2">
      <c r="A12" s="539"/>
      <c r="B12" s="544" t="s">
        <v>20</v>
      </c>
      <c r="C12" s="533">
        <f>'April 2023'!F12</f>
        <v>13331.88</v>
      </c>
      <c r="D12" s="547">
        <f>1945.31+63.99</f>
        <v>2009.3</v>
      </c>
      <c r="E12" s="547">
        <f>1329.21+6958.18</f>
        <v>8287.39</v>
      </c>
      <c r="F12" s="548">
        <f>C12+D12-E12</f>
        <v>7053.7899999999991</v>
      </c>
      <c r="G12" s="537"/>
      <c r="H12" s="543"/>
      <c r="I12" s="629"/>
    </row>
    <row r="13" spans="1:18" ht="12" x14ac:dyDescent="0.2">
      <c r="A13" s="539"/>
      <c r="B13" s="544" t="s">
        <v>22</v>
      </c>
      <c r="C13" s="533">
        <f>'April 2023'!F13</f>
        <v>775.67999999999984</v>
      </c>
      <c r="D13" s="547"/>
      <c r="E13" s="547"/>
      <c r="F13" s="548">
        <f>C13+D13-E13</f>
        <v>775.67999999999984</v>
      </c>
      <c r="G13" s="537"/>
      <c r="H13" s="543"/>
      <c r="I13" s="629"/>
    </row>
    <row r="14" spans="1:18" ht="12" x14ac:dyDescent="0.2">
      <c r="A14" s="539"/>
      <c r="B14" s="544" t="s">
        <v>28</v>
      </c>
      <c r="C14" s="533">
        <f>'April 2023'!F14</f>
        <v>-129.75000000000114</v>
      </c>
      <c r="D14" s="547"/>
      <c r="E14" s="547"/>
      <c r="F14" s="542">
        <f t="shared" si="0"/>
        <v>-129.75000000000114</v>
      </c>
      <c r="G14" s="537"/>
      <c r="H14" s="543"/>
      <c r="I14" s="629"/>
    </row>
    <row r="15" spans="1:18" ht="12" x14ac:dyDescent="0.2">
      <c r="A15" s="539"/>
      <c r="B15" s="549" t="s">
        <v>42</v>
      </c>
      <c r="C15" s="533">
        <f>'April 2023'!F15</f>
        <v>-614.1099999999999</v>
      </c>
      <c r="D15" s="541"/>
      <c r="E15" s="541"/>
      <c r="F15" s="550">
        <f t="shared" si="0"/>
        <v>-614.1099999999999</v>
      </c>
      <c r="G15" s="537"/>
      <c r="H15" s="543"/>
      <c r="I15" s="629"/>
    </row>
    <row r="16" spans="1:18" ht="12" x14ac:dyDescent="0.2">
      <c r="A16" s="539"/>
      <c r="B16" s="549" t="s">
        <v>43</v>
      </c>
      <c r="C16" s="533">
        <f>'April 2023'!F16</f>
        <v>-914.86000000000047</v>
      </c>
      <c r="D16" s="541"/>
      <c r="E16" s="541">
        <v>136.91999999999999</v>
      </c>
      <c r="F16" s="548">
        <f>C16+D16-E16</f>
        <v>-1051.7800000000004</v>
      </c>
      <c r="G16" s="537"/>
      <c r="H16" s="543"/>
      <c r="I16" s="273"/>
      <c r="P16" s="629"/>
    </row>
    <row r="17" spans="1:16" ht="12" x14ac:dyDescent="0.2">
      <c r="A17" s="823" t="s">
        <v>53</v>
      </c>
      <c r="B17" s="823"/>
      <c r="C17" s="551">
        <f>SUM(C18:C22)</f>
        <v>971.2599999999959</v>
      </c>
      <c r="D17" s="552">
        <f>SUM(D18:D22)</f>
        <v>0</v>
      </c>
      <c r="E17" s="552">
        <f>SUM(E18:E22)</f>
        <v>9755.7599999999984</v>
      </c>
      <c r="F17" s="542">
        <f>SUM(F18:F22)</f>
        <v>-8784.5000000000036</v>
      </c>
      <c r="G17" s="553">
        <f>SUM(G20+G22+G18)</f>
        <v>18500</v>
      </c>
      <c r="H17" s="543"/>
      <c r="I17" s="273"/>
      <c r="P17" s="629"/>
    </row>
    <row r="18" spans="1:16" ht="12" x14ac:dyDescent="0.2">
      <c r="A18" s="554"/>
      <c r="B18" s="555" t="s">
        <v>9</v>
      </c>
      <c r="C18" s="556">
        <f>'April 2023'!F18+0.01</f>
        <v>3686.8499999999976</v>
      </c>
      <c r="D18" s="557"/>
      <c r="E18" s="558">
        <v>3522.21</v>
      </c>
      <c r="F18" s="559">
        <f>C18+D18-E18</f>
        <v>164.6399999999976</v>
      </c>
      <c r="G18" s="541">
        <v>5000</v>
      </c>
      <c r="H18" s="560"/>
      <c r="I18" s="629"/>
      <c r="J18" s="79"/>
    </row>
    <row r="19" spans="1:16" ht="12" x14ac:dyDescent="0.2">
      <c r="A19" s="539"/>
      <c r="B19" s="561" t="s">
        <v>8</v>
      </c>
      <c r="C19" s="556">
        <f>'April 2023'!F19+0.01</f>
        <v>-943.38000000000022</v>
      </c>
      <c r="D19" s="547"/>
      <c r="E19" s="545">
        <f>1856.13+1628.09</f>
        <v>3484.2200000000003</v>
      </c>
      <c r="F19" s="559">
        <f>C19+D19-E19</f>
        <v>-4427.6000000000004</v>
      </c>
      <c r="G19" s="562"/>
      <c r="H19" s="560"/>
      <c r="I19" s="629"/>
    </row>
    <row r="20" spans="1:16" ht="12" x14ac:dyDescent="0.2">
      <c r="A20" s="539"/>
      <c r="B20" s="563" t="s">
        <v>32</v>
      </c>
      <c r="C20" s="556">
        <f>'April 2023'!F20+0.01</f>
        <v>-340.84000000000043</v>
      </c>
      <c r="D20" s="547"/>
      <c r="E20" s="545">
        <v>1096.46</v>
      </c>
      <c r="F20" s="559">
        <f t="shared" ref="F20:F22" si="1">C20+D20-E20</f>
        <v>-1437.3000000000004</v>
      </c>
      <c r="G20" s="564">
        <v>5000</v>
      </c>
      <c r="H20" s="560"/>
      <c r="I20" s="629"/>
    </row>
    <row r="21" spans="1:16" ht="12" x14ac:dyDescent="0.2">
      <c r="A21" s="539"/>
      <c r="B21" s="561" t="s">
        <v>67</v>
      </c>
      <c r="C21" s="556">
        <f>'April 2023'!F21</f>
        <v>-9.0951551845463996E-15</v>
      </c>
      <c r="D21" s="547"/>
      <c r="E21" s="547">
        <v>212.75</v>
      </c>
      <c r="F21" s="559">
        <f t="shared" si="1"/>
        <v>-212.75</v>
      </c>
      <c r="G21" s="564"/>
      <c r="H21" s="560"/>
      <c r="I21" s="629"/>
    </row>
    <row r="22" spans="1:16" ht="12" x14ac:dyDescent="0.2">
      <c r="A22" s="565"/>
      <c r="B22" s="566" t="s">
        <v>38</v>
      </c>
      <c r="C22" s="556">
        <f>'April 2023'!F22+0.01</f>
        <v>-1431.370000000001</v>
      </c>
      <c r="D22" s="567"/>
      <c r="E22" s="558">
        <v>1440.12</v>
      </c>
      <c r="F22" s="559">
        <f t="shared" si="1"/>
        <v>-2871.4900000000007</v>
      </c>
      <c r="G22" s="541">
        <v>8500</v>
      </c>
      <c r="H22" s="560"/>
      <c r="I22" s="629"/>
      <c r="J22" s="79"/>
    </row>
    <row r="23" spans="1:16" ht="12" x14ac:dyDescent="0.2">
      <c r="A23" s="824" t="s">
        <v>10</v>
      </c>
      <c r="B23" s="825"/>
      <c r="C23" s="551">
        <f>SUM(C24:C32)</f>
        <v>218317.16000000003</v>
      </c>
      <c r="D23" s="568">
        <f>SUM(D24:D32)</f>
        <v>0</v>
      </c>
      <c r="E23" s="569">
        <f>SUM(E24:E32)</f>
        <v>16739.829999999998</v>
      </c>
      <c r="F23" s="569">
        <f>SUM(F24:F32)-0.08</f>
        <v>201577.27000000005</v>
      </c>
      <c r="G23" s="570"/>
      <c r="H23" s="543"/>
      <c r="I23" s="273"/>
      <c r="P23" s="629"/>
    </row>
    <row r="24" spans="1:16" ht="12" hidden="1" x14ac:dyDescent="0.2">
      <c r="A24" s="554"/>
      <c r="B24" s="571" t="s">
        <v>55</v>
      </c>
      <c r="C24" s="556">
        <f>'February 2021'!G24</f>
        <v>0</v>
      </c>
      <c r="D24" s="572"/>
      <c r="E24" s="557"/>
      <c r="F24" s="573">
        <f>C24+D24-E24</f>
        <v>0</v>
      </c>
      <c r="G24" s="534"/>
      <c r="H24" s="543"/>
      <c r="I24" s="629"/>
      <c r="J24" s="319"/>
    </row>
    <row r="25" spans="1:16" ht="12" hidden="1" x14ac:dyDescent="0.2">
      <c r="A25" s="565"/>
      <c r="B25" s="549" t="s">
        <v>70</v>
      </c>
      <c r="C25" s="556">
        <f>'January 2022'!F25</f>
        <v>7.9999999998108251E-2</v>
      </c>
      <c r="D25" s="567"/>
      <c r="E25" s="567"/>
      <c r="F25" s="573">
        <f>C25+D25-E25</f>
        <v>7.9999999998108251E-2</v>
      </c>
      <c r="G25" s="541"/>
      <c r="H25" s="543"/>
      <c r="I25" s="629"/>
      <c r="J25" s="319"/>
    </row>
    <row r="26" spans="1:16" ht="12" hidden="1" x14ac:dyDescent="0.2">
      <c r="A26" s="531"/>
      <c r="B26" s="574" t="s">
        <v>105</v>
      </c>
      <c r="C26" s="556">
        <f>'April 2023'!F26</f>
        <v>-1.9999999992592166E-2</v>
      </c>
      <c r="D26" s="558"/>
      <c r="E26" s="575"/>
      <c r="F26" s="573">
        <f>C26+D26-E26+0.02</f>
        <v>7.4078347622741347E-12</v>
      </c>
      <c r="G26" s="541"/>
      <c r="H26" s="543"/>
      <c r="I26" s="629"/>
      <c r="J26" s="629"/>
    </row>
    <row r="27" spans="1:16" ht="12" hidden="1" x14ac:dyDescent="0.2">
      <c r="A27" s="531"/>
      <c r="B27" s="574" t="s">
        <v>39</v>
      </c>
      <c r="C27" s="556">
        <f>'April 2023'!F27</f>
        <v>8.1854523159563541E-12</v>
      </c>
      <c r="D27" s="567"/>
      <c r="E27" s="558"/>
      <c r="F27" s="573">
        <f t="shared" ref="F27:F31" si="2">C27+D27-E27</f>
        <v>8.1854523159563541E-12</v>
      </c>
      <c r="G27" s="541"/>
      <c r="H27" s="543"/>
      <c r="I27" s="629"/>
      <c r="J27" s="629"/>
    </row>
    <row r="28" spans="1:16" ht="12" x14ac:dyDescent="0.2">
      <c r="A28" s="531"/>
      <c r="B28" s="574" t="s">
        <v>115</v>
      </c>
      <c r="C28" s="556">
        <f>'April 2023'!F28</f>
        <v>18390.919999999998</v>
      </c>
      <c r="D28" s="567"/>
      <c r="E28" s="567"/>
      <c r="F28" s="573">
        <f t="shared" si="2"/>
        <v>18390.919999999998</v>
      </c>
      <c r="G28" s="541"/>
      <c r="H28" s="543"/>
      <c r="I28" s="629"/>
      <c r="J28" s="629"/>
    </row>
    <row r="29" spans="1:16" ht="12" hidden="1" x14ac:dyDescent="0.2">
      <c r="A29" s="531"/>
      <c r="B29" s="574" t="s">
        <v>86</v>
      </c>
      <c r="C29" s="556">
        <f>'April 2023'!F29</f>
        <v>-1.9326762412674725E-12</v>
      </c>
      <c r="D29" s="567"/>
      <c r="E29" s="567"/>
      <c r="F29" s="573">
        <f t="shared" si="2"/>
        <v>-1.9326762412674725E-12</v>
      </c>
      <c r="G29" s="541"/>
      <c r="H29" s="543"/>
      <c r="I29" s="629"/>
      <c r="J29" s="629"/>
    </row>
    <row r="30" spans="1:16" ht="12" x14ac:dyDescent="0.2">
      <c r="A30" s="531"/>
      <c r="B30" s="574" t="s">
        <v>101</v>
      </c>
      <c r="C30" s="556">
        <f>'April 2023'!F30</f>
        <v>92499.020000000019</v>
      </c>
      <c r="D30" s="567"/>
      <c r="E30" s="567">
        <v>16419.12</v>
      </c>
      <c r="F30" s="573">
        <f t="shared" si="2"/>
        <v>76079.900000000023</v>
      </c>
      <c r="G30" s="541"/>
      <c r="H30" s="543"/>
      <c r="I30" s="629"/>
      <c r="J30" s="629"/>
    </row>
    <row r="31" spans="1:16" ht="12" x14ac:dyDescent="0.2">
      <c r="A31" s="531"/>
      <c r="B31" s="574" t="s">
        <v>119</v>
      </c>
      <c r="C31" s="556">
        <f>'April 2023'!F31</f>
        <v>118184</v>
      </c>
      <c r="D31" s="567"/>
      <c r="E31" s="567"/>
      <c r="F31" s="573">
        <f t="shared" si="2"/>
        <v>118184</v>
      </c>
      <c r="G31" s="541"/>
      <c r="H31" s="543"/>
      <c r="I31" s="629"/>
      <c r="J31" s="629"/>
    </row>
    <row r="32" spans="1:16" ht="12" x14ac:dyDescent="0.2">
      <c r="A32" s="531"/>
      <c r="B32" s="549" t="s">
        <v>44</v>
      </c>
      <c r="C32" s="556">
        <f>'April 2023'!F32</f>
        <v>-10756.840000000002</v>
      </c>
      <c r="D32" s="567"/>
      <c r="E32" s="558">
        <v>320.70999999999998</v>
      </c>
      <c r="F32" s="573">
        <f>C32+D32-E32</f>
        <v>-11077.550000000001</v>
      </c>
      <c r="G32" s="541"/>
      <c r="H32" s="543"/>
      <c r="I32" s="629"/>
      <c r="J32" s="629"/>
    </row>
    <row r="33" spans="1:16" ht="12" x14ac:dyDescent="0.2">
      <c r="A33" s="826" t="s">
        <v>35</v>
      </c>
      <c r="B33" s="827"/>
      <c r="C33" s="551">
        <f>SUM(C34:C39)</f>
        <v>97848.6</v>
      </c>
      <c r="D33" s="568">
        <f>SUM(D34:D39)</f>
        <v>1952.23</v>
      </c>
      <c r="E33" s="569">
        <f>SUM(E34:E39)</f>
        <v>3454.09</v>
      </c>
      <c r="F33" s="569">
        <f>SUM(F34:F39)</f>
        <v>96346.74</v>
      </c>
      <c r="G33" s="570">
        <f>SUM(G34:G36)</f>
        <v>35000</v>
      </c>
      <c r="H33" s="543"/>
      <c r="I33" s="273"/>
      <c r="P33" s="629"/>
    </row>
    <row r="34" spans="1:16" ht="12" x14ac:dyDescent="0.2">
      <c r="A34" s="565"/>
      <c r="B34" s="549" t="s">
        <v>125</v>
      </c>
      <c r="C34" s="556">
        <f>'April 2023'!F34</f>
        <v>31523.08</v>
      </c>
      <c r="D34" s="576"/>
      <c r="E34" s="577">
        <v>212.75</v>
      </c>
      <c r="F34" s="578">
        <f>C34+D34-E34</f>
        <v>31310.33</v>
      </c>
      <c r="G34" s="541"/>
      <c r="H34" s="543"/>
      <c r="I34" s="629"/>
      <c r="J34" s="319"/>
    </row>
    <row r="35" spans="1:16" ht="12" x14ac:dyDescent="0.2">
      <c r="A35" s="565"/>
      <c r="B35" s="549" t="s">
        <v>90</v>
      </c>
      <c r="C35" s="556">
        <f>'April 2023'!F35</f>
        <v>20691.580000000009</v>
      </c>
      <c r="D35" s="576"/>
      <c r="E35" s="577">
        <v>245.87</v>
      </c>
      <c r="F35" s="578">
        <f t="shared" ref="F35" si="3">C35+D35-E35</f>
        <v>20445.71000000001</v>
      </c>
      <c r="G35" s="541">
        <v>35000</v>
      </c>
      <c r="H35" s="543"/>
      <c r="I35" s="629"/>
      <c r="J35" s="319"/>
    </row>
    <row r="36" spans="1:16" ht="12" x14ac:dyDescent="0.2">
      <c r="A36" s="565"/>
      <c r="B36" s="579" t="s">
        <v>120</v>
      </c>
      <c r="C36" s="556">
        <f>'April 2023'!F36</f>
        <v>22929.55</v>
      </c>
      <c r="D36" s="576"/>
      <c r="E36" s="558">
        <v>212.75</v>
      </c>
      <c r="F36" s="578">
        <f>C36+D36-E36</f>
        <v>22716.799999999999</v>
      </c>
      <c r="G36" s="541"/>
      <c r="H36" s="543"/>
      <c r="I36" s="293"/>
      <c r="J36" s="266"/>
      <c r="P36" s="326"/>
    </row>
    <row r="37" spans="1:16" ht="12" x14ac:dyDescent="0.2">
      <c r="A37" s="631"/>
      <c r="B37" s="631" t="s">
        <v>99</v>
      </c>
      <c r="C37" s="556">
        <f>'April 2023'!F37</f>
        <v>10550</v>
      </c>
      <c r="D37" s="580"/>
      <c r="E37" s="631"/>
      <c r="F37" s="578">
        <f>C37+D37-E37</f>
        <v>10550</v>
      </c>
      <c r="G37" s="631"/>
      <c r="H37" s="631"/>
    </row>
    <row r="38" spans="1:16" ht="12" x14ac:dyDescent="0.2">
      <c r="A38" s="631"/>
      <c r="B38" s="631" t="s">
        <v>131</v>
      </c>
      <c r="C38" s="556">
        <f>'April 2023'!F38</f>
        <v>14044.08</v>
      </c>
      <c r="D38" s="582"/>
      <c r="E38" s="631">
        <v>1616.83</v>
      </c>
      <c r="F38" s="578">
        <f>C38+D38-E38</f>
        <v>12427.25</v>
      </c>
      <c r="G38" s="631"/>
      <c r="H38" s="631"/>
    </row>
    <row r="39" spans="1:16" ht="12.75" thickBot="1" x14ac:dyDescent="0.25">
      <c r="A39" s="631"/>
      <c r="B39" s="583" t="s">
        <v>111</v>
      </c>
      <c r="C39" s="556">
        <f>'April 2023'!F39</f>
        <v>-1889.69</v>
      </c>
      <c r="D39" s="584">
        <v>1952.23</v>
      </c>
      <c r="E39" s="631">
        <v>1165.8900000000001</v>
      </c>
      <c r="F39" s="578">
        <f>C39+D39-E39</f>
        <v>-1103.3500000000001</v>
      </c>
      <c r="G39" s="631"/>
      <c r="H39" s="631"/>
    </row>
    <row r="40" spans="1:16" ht="12.75" thickBot="1" x14ac:dyDescent="0.25">
      <c r="A40" s="828" t="s">
        <v>11</v>
      </c>
      <c r="B40" s="812"/>
      <c r="C40" s="585">
        <f>C33+C23+C17+C6</f>
        <v>586912.48</v>
      </c>
      <c r="D40" s="627">
        <f>SUM(D23,D17,D6,D33)</f>
        <v>4650.04</v>
      </c>
      <c r="E40" s="587">
        <f>SUM(E23,E17,E6,E33)</f>
        <v>68268.84</v>
      </c>
      <c r="F40" s="588">
        <f>SUM(F23,F17,F6,F33)</f>
        <v>523293.62</v>
      </c>
      <c r="G40" s="589">
        <f>SUM(G6,G17,G23,G33)</f>
        <v>53500</v>
      </c>
      <c r="H40" s="632"/>
      <c r="I40" s="629"/>
      <c r="J40" s="331"/>
    </row>
    <row r="41" spans="1:16" ht="12" hidden="1" x14ac:dyDescent="0.2">
      <c r="A41" s="634"/>
      <c r="B41" s="630"/>
      <c r="C41" s="632">
        <f>SUM(C17:C22)</f>
        <v>1942.5199999999916</v>
      </c>
      <c r="D41" s="632"/>
      <c r="E41" s="632"/>
      <c r="F41" s="632"/>
      <c r="G41" s="593"/>
      <c r="H41" s="632"/>
      <c r="K41" s="628" t="s">
        <v>12</v>
      </c>
      <c r="L41" s="628">
        <v>42.43</v>
      </c>
    </row>
    <row r="42" spans="1:16" ht="12.75" hidden="1" thickBot="1" x14ac:dyDescent="0.25">
      <c r="A42" s="594" t="s">
        <v>25</v>
      </c>
      <c r="B42" s="595"/>
      <c r="C42" s="596" t="e">
        <f>SUM(C40,#REF!)</f>
        <v>#REF!</v>
      </c>
      <c r="D42" s="597" t="e">
        <f>SUM(D40,#REF!)</f>
        <v>#REF!</v>
      </c>
      <c r="E42" s="597" t="e">
        <f>SUM(E40,#REF!)</f>
        <v>#REF!</v>
      </c>
      <c r="F42" s="598" t="e">
        <f>SUM(F40,#REF!)</f>
        <v>#REF!</v>
      </c>
      <c r="G42" s="593"/>
      <c r="H42" s="632"/>
      <c r="I42" s="331"/>
      <c r="J42" s="79">
        <v>206730.35</v>
      </c>
    </row>
    <row r="43" spans="1:16" ht="12.75" thickBot="1" x14ac:dyDescent="0.25">
      <c r="A43" s="631"/>
      <c r="B43" s="599"/>
      <c r="C43" s="632"/>
      <c r="D43" s="632"/>
      <c r="E43" s="632"/>
      <c r="F43" s="632"/>
      <c r="G43" s="593"/>
      <c r="H43" s="600"/>
      <c r="I43" s="331"/>
      <c r="J43" s="79"/>
      <c r="P43" s="629"/>
    </row>
    <row r="44" spans="1:16" ht="12.75" thickBot="1" x14ac:dyDescent="0.25">
      <c r="A44" s="829" t="s">
        <v>13</v>
      </c>
      <c r="B44" s="830"/>
      <c r="C44" s="601" t="s">
        <v>2</v>
      </c>
      <c r="D44" s="601" t="s">
        <v>3</v>
      </c>
      <c r="E44" s="601" t="s">
        <v>27</v>
      </c>
      <c r="F44" s="601" t="s">
        <v>5</v>
      </c>
      <c r="G44" s="602"/>
      <c r="H44" s="603"/>
      <c r="I44" s="343"/>
    </row>
    <row r="45" spans="1:16" ht="12.75" thickBot="1" x14ac:dyDescent="0.25">
      <c r="A45" s="815" t="s">
        <v>14</v>
      </c>
      <c r="B45" s="816"/>
      <c r="C45" s="604">
        <f>'April 2023'!F45</f>
        <v>192.90999999999997</v>
      </c>
      <c r="D45" s="605"/>
      <c r="E45" s="605">
        <v>67.58</v>
      </c>
      <c r="F45" s="606">
        <f>C45+D45-E45</f>
        <v>125.32999999999997</v>
      </c>
      <c r="G45" s="632"/>
      <c r="H45" s="631"/>
      <c r="I45" s="331"/>
      <c r="J45" s="79"/>
    </row>
    <row r="46" spans="1:16" ht="12.75" thickBot="1" x14ac:dyDescent="0.25">
      <c r="A46" s="831" t="s">
        <v>15</v>
      </c>
      <c r="B46" s="832"/>
      <c r="C46" s="604">
        <f>'April 2023'!F46</f>
        <v>77282.250000000015</v>
      </c>
      <c r="D46" s="607"/>
      <c r="E46" s="607">
        <v>68164.570000000007</v>
      </c>
      <c r="F46" s="606">
        <f>C46+D46-E46</f>
        <v>9117.6800000000076</v>
      </c>
      <c r="G46" s="632"/>
      <c r="H46" s="608"/>
      <c r="I46" s="331"/>
    </row>
    <row r="47" spans="1:16" ht="12.75" thickBot="1" x14ac:dyDescent="0.25">
      <c r="A47" s="609"/>
      <c r="B47" s="610" t="s">
        <v>21</v>
      </c>
      <c r="C47" s="604">
        <f>'April 2023'!F47</f>
        <v>0</v>
      </c>
      <c r="D47" s="611"/>
      <c r="E47" s="611"/>
      <c r="F47" s="606">
        <f t="shared" ref="F47:F49" si="4">C47+D47-E47</f>
        <v>0</v>
      </c>
      <c r="G47" s="632"/>
      <c r="H47" s="608"/>
      <c r="I47" s="79"/>
    </row>
    <row r="48" spans="1:16" ht="12.75" thickBot="1" x14ac:dyDescent="0.25">
      <c r="A48" s="609"/>
      <c r="B48" s="610" t="s">
        <v>40</v>
      </c>
      <c r="C48" s="604">
        <f>'April 2023'!F48</f>
        <v>-4313.5000000000018</v>
      </c>
      <c r="D48" s="612">
        <v>3811.98</v>
      </c>
      <c r="E48" s="612">
        <v>5568.78</v>
      </c>
      <c r="F48" s="606">
        <f>C48+D48-E48</f>
        <v>-6070.3000000000011</v>
      </c>
      <c r="G48" s="632"/>
      <c r="H48" s="613"/>
      <c r="I48" s="79"/>
    </row>
    <row r="49" spans="1:16" ht="12.75" thickBot="1" x14ac:dyDescent="0.25">
      <c r="A49" s="815" t="s">
        <v>16</v>
      </c>
      <c r="B49" s="816"/>
      <c r="C49" s="604">
        <f>'April 2023'!F49</f>
        <v>289787.87000000005</v>
      </c>
      <c r="D49" s="614">
        <v>7208.59</v>
      </c>
      <c r="E49" s="614"/>
      <c r="F49" s="606">
        <f t="shared" si="4"/>
        <v>296996.46000000008</v>
      </c>
      <c r="G49" s="632"/>
      <c r="H49" s="613"/>
      <c r="I49" s="79"/>
    </row>
    <row r="50" spans="1:16" ht="12.75" thickBot="1" x14ac:dyDescent="0.25">
      <c r="A50" s="615" t="s">
        <v>46</v>
      </c>
      <c r="B50" s="616"/>
      <c r="C50" s="604">
        <f>'April 2023'!F50</f>
        <v>223963.14999999994</v>
      </c>
      <c r="D50" s="576">
        <v>229.17</v>
      </c>
      <c r="E50" s="576">
        <f>1000+67.61</f>
        <v>1067.6099999999999</v>
      </c>
      <c r="F50" s="606">
        <f>C50+D50-E50</f>
        <v>223124.70999999996</v>
      </c>
      <c r="G50" s="632"/>
      <c r="H50" s="613"/>
      <c r="I50" s="79"/>
    </row>
    <row r="51" spans="1:16" ht="12.75" thickBot="1" x14ac:dyDescent="0.25">
      <c r="A51" s="811"/>
      <c r="B51" s="812"/>
      <c r="C51" s="617">
        <f>SUM(C45+C46+C49+C50+C48+C47)</f>
        <v>586912.68000000005</v>
      </c>
      <c r="D51" s="618">
        <f>SUM(D45:D50)</f>
        <v>11249.74</v>
      </c>
      <c r="E51" s="618">
        <f>SUM(E45:E50)</f>
        <v>74868.540000000008</v>
      </c>
      <c r="F51" s="606">
        <f>C51+D51-E51+0.04</f>
        <v>523293.92</v>
      </c>
      <c r="G51" s="632"/>
      <c r="H51" s="603"/>
      <c r="I51" s="79"/>
      <c r="J51" s="266"/>
    </row>
    <row r="52" spans="1:16" ht="12" x14ac:dyDescent="0.2">
      <c r="A52" s="634"/>
      <c r="B52" s="630"/>
      <c r="C52" s="632">
        <f>C40-C51</f>
        <v>-0.20000000006984919</v>
      </c>
      <c r="D52" s="632"/>
      <c r="E52" s="632"/>
      <c r="F52" s="632">
        <f>F40-F51</f>
        <v>-0.29999999998835847</v>
      </c>
      <c r="G52" s="631"/>
      <c r="H52" s="632"/>
      <c r="I52" s="331"/>
      <c r="J52" s="331"/>
      <c r="K52" s="266"/>
    </row>
    <row r="53" spans="1:16" ht="12" x14ac:dyDescent="0.2">
      <c r="A53" s="631"/>
      <c r="B53" s="599"/>
      <c r="C53" s="632"/>
      <c r="D53" s="632"/>
      <c r="E53" s="632"/>
      <c r="F53" s="632"/>
      <c r="G53" s="632"/>
      <c r="H53" s="632"/>
      <c r="I53" s="331"/>
    </row>
    <row r="54" spans="1:16" ht="12" x14ac:dyDescent="0.2">
      <c r="A54" s="813" t="s">
        <v>17</v>
      </c>
      <c r="B54" s="813"/>
      <c r="C54" s="813"/>
      <c r="D54" s="813"/>
      <c r="E54" s="814" t="s">
        <v>18</v>
      </c>
      <c r="F54" s="814"/>
      <c r="G54" s="632"/>
      <c r="H54" s="632"/>
      <c r="J54" s="331"/>
    </row>
    <row r="55" spans="1:16" ht="12" x14ac:dyDescent="0.2">
      <c r="A55" s="631"/>
      <c r="B55" s="631"/>
      <c r="C55" s="632"/>
      <c r="D55" s="632"/>
      <c r="E55" s="632"/>
      <c r="F55" s="632"/>
      <c r="G55" s="632"/>
      <c r="H55" s="632"/>
    </row>
    <row r="56" spans="1:16" ht="12" x14ac:dyDescent="0.2">
      <c r="A56" s="813" t="s">
        <v>19</v>
      </c>
      <c r="B56" s="813"/>
      <c r="C56" s="813"/>
      <c r="D56" s="813"/>
      <c r="E56" s="814" t="s">
        <v>18</v>
      </c>
      <c r="F56" s="814"/>
      <c r="G56" s="632"/>
      <c r="H56" s="632"/>
    </row>
    <row r="57" spans="1:16" ht="12" x14ac:dyDescent="0.2">
      <c r="A57" s="634"/>
      <c r="B57" s="630"/>
      <c r="C57" s="524"/>
      <c r="D57" s="524"/>
      <c r="E57" s="524"/>
      <c r="F57" s="613"/>
      <c r="G57" s="524"/>
      <c r="H57" s="524"/>
      <c r="I57" s="331"/>
      <c r="J57" s="79"/>
      <c r="P57" s="364"/>
    </row>
    <row r="58" spans="1:16" ht="12" x14ac:dyDescent="0.2">
      <c r="A58" s="631"/>
      <c r="B58" s="599"/>
      <c r="C58" s="603"/>
      <c r="D58" s="603"/>
      <c r="E58" s="603"/>
      <c r="H58" s="631"/>
      <c r="I58" s="331"/>
      <c r="J58" s="343"/>
      <c r="L58" s="266"/>
      <c r="P58" s="364"/>
    </row>
    <row r="59" spans="1:16" x14ac:dyDescent="0.2">
      <c r="B59" s="340"/>
      <c r="C59" s="79"/>
      <c r="D59" s="331"/>
      <c r="J59" s="331"/>
    </row>
  </sheetData>
  <mergeCells count="17">
    <mergeCell ref="A49:B49"/>
    <mergeCell ref="A2:G2"/>
    <mergeCell ref="A3:G3"/>
    <mergeCell ref="A5:B5"/>
    <mergeCell ref="A6:B6"/>
    <mergeCell ref="A17:B17"/>
    <mergeCell ref="A23:B23"/>
    <mergeCell ref="A33:B33"/>
    <mergeCell ref="A40:B40"/>
    <mergeCell ref="A44:B44"/>
    <mergeCell ref="A45:B45"/>
    <mergeCell ref="A46:B46"/>
    <mergeCell ref="A51:B51"/>
    <mergeCell ref="A54:D54"/>
    <mergeCell ref="E54:F54"/>
    <mergeCell ref="A56:D56"/>
    <mergeCell ref="E56:F56"/>
  </mergeCells>
  <pageMargins left="0.7" right="0.7" top="0.75" bottom="0.75" header="0.3" footer="0.3"/>
  <pageSetup scale="93" orientation="portrait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AAA6D-B931-4660-AFDD-802C4DF8FEA9}">
  <sheetPr>
    <pageSetUpPr fitToPage="1"/>
  </sheetPr>
  <dimension ref="A1:R60"/>
  <sheetViews>
    <sheetView topLeftCell="A14" zoomScale="130" zoomScaleNormal="130" workbookViewId="0">
      <selection activeCell="E49" sqref="E49"/>
    </sheetView>
  </sheetViews>
  <sheetFormatPr defaultColWidth="9.140625" defaultRowHeight="11.25" x14ac:dyDescent="0.2"/>
  <cols>
    <col min="1" max="1" width="10.7109375" style="635" customWidth="1"/>
    <col min="2" max="2" width="26" style="635" customWidth="1"/>
    <col min="3" max="3" width="10" style="635" customWidth="1"/>
    <col min="4" max="4" width="8.85546875" style="635" customWidth="1"/>
    <col min="5" max="5" width="8.7109375" style="635" customWidth="1"/>
    <col min="6" max="6" width="10.28515625" style="635" customWidth="1"/>
    <col min="7" max="7" width="8.85546875" style="635" customWidth="1"/>
    <col min="8" max="8" width="13.85546875" style="635" customWidth="1"/>
    <col min="9" max="9" width="14.7109375" style="635" customWidth="1"/>
    <col min="10" max="10" width="14.5703125" style="635" customWidth="1"/>
    <col min="11" max="11" width="11.28515625" style="635" customWidth="1"/>
    <col min="12" max="15" width="9.140625" style="635"/>
    <col min="16" max="16" width="13" style="635" customWidth="1"/>
    <col min="17" max="16384" width="9.140625" style="635"/>
  </cols>
  <sheetData>
    <row r="1" spans="1:18" hidden="1" x14ac:dyDescent="0.2"/>
    <row r="2" spans="1:18" ht="12" x14ac:dyDescent="0.2">
      <c r="A2" s="817" t="s">
        <v>0</v>
      </c>
      <c r="B2" s="817"/>
      <c r="C2" s="817"/>
      <c r="D2" s="817"/>
      <c r="E2" s="817"/>
      <c r="F2" s="817"/>
      <c r="G2" s="817"/>
      <c r="H2" s="640"/>
    </row>
    <row r="3" spans="1:18" ht="12" x14ac:dyDescent="0.2">
      <c r="A3" s="818" t="s">
        <v>139</v>
      </c>
      <c r="B3" s="818"/>
      <c r="C3" s="818"/>
      <c r="D3" s="818"/>
      <c r="E3" s="818"/>
      <c r="F3" s="818"/>
      <c r="G3" s="818"/>
      <c r="H3" s="526" t="s">
        <v>133</v>
      </c>
      <c r="I3" s="638"/>
    </row>
    <row r="4" spans="1:18" ht="12.75" thickBot="1" x14ac:dyDescent="0.25">
      <c r="A4" s="638"/>
      <c r="B4" s="523" t="s">
        <v>37</v>
      </c>
      <c r="C4" s="638"/>
      <c r="D4" s="638"/>
      <c r="E4" s="638"/>
      <c r="F4" s="524"/>
      <c r="G4" s="638"/>
      <c r="H4" s="530" t="s">
        <v>134</v>
      </c>
    </row>
    <row r="5" spans="1:18" ht="15.75" customHeight="1" x14ac:dyDescent="0.2">
      <c r="A5" s="819" t="s">
        <v>1</v>
      </c>
      <c r="B5" s="820"/>
      <c r="C5" s="525" t="s">
        <v>2</v>
      </c>
      <c r="D5" s="525" t="s">
        <v>3</v>
      </c>
      <c r="E5" s="525" t="s">
        <v>58</v>
      </c>
      <c r="F5" s="525" t="s">
        <v>5</v>
      </c>
      <c r="G5" s="525" t="s">
        <v>6</v>
      </c>
      <c r="H5" s="538" t="s">
        <v>135</v>
      </c>
    </row>
    <row r="6" spans="1:18" ht="12" x14ac:dyDescent="0.2">
      <c r="A6" s="821" t="s">
        <v>132</v>
      </c>
      <c r="B6" s="822"/>
      <c r="C6" s="527">
        <f>SUM(C7:C16)</f>
        <v>234154.11</v>
      </c>
      <c r="D6" s="528">
        <f>SUM(D7:D16)</f>
        <v>6363.6</v>
      </c>
      <c r="E6" s="528">
        <f>SUM(E7:E16)</f>
        <v>17072</v>
      </c>
      <c r="F6" s="528">
        <f>SUM(F7:F16)</f>
        <v>223445.71</v>
      </c>
      <c r="G6" s="529">
        <f>SUM(G7:G15)</f>
        <v>0</v>
      </c>
      <c r="I6" s="273"/>
      <c r="J6" s="273"/>
      <c r="K6" s="636"/>
      <c r="P6" s="636"/>
      <c r="R6" s="636"/>
    </row>
    <row r="7" spans="1:18" ht="12" customHeight="1" x14ac:dyDescent="0.2">
      <c r="A7" s="531"/>
      <c r="B7" s="532" t="s">
        <v>23</v>
      </c>
      <c r="C7" s="533">
        <f>'May 2023'!F7</f>
        <v>229219.03999999998</v>
      </c>
      <c r="D7" s="534">
        <f>5101+425.09+551</f>
        <v>6077.09</v>
      </c>
      <c r="E7" s="535">
        <f>1000+2449.04+802.62+6049+71.42+5800+3600+1169.32+609.71-7238.71</f>
        <v>14312.400000000001</v>
      </c>
      <c r="F7" s="536">
        <f>C7+D7-E7</f>
        <v>220983.72999999998</v>
      </c>
      <c r="G7" s="537"/>
      <c r="I7" s="636"/>
    </row>
    <row r="8" spans="1:18" ht="12" x14ac:dyDescent="0.2">
      <c r="A8" s="539"/>
      <c r="B8" s="540" t="s">
        <v>62</v>
      </c>
      <c r="C8" s="533">
        <f>'May 2023'!F8</f>
        <v>-1424.7499999999977</v>
      </c>
      <c r="D8" s="541"/>
      <c r="E8" s="541">
        <v>1047.3599999999999</v>
      </c>
      <c r="F8" s="542">
        <f t="shared" ref="F8:F15" si="0">C8+D8-E8</f>
        <v>-2472.1099999999979</v>
      </c>
      <c r="G8" s="537"/>
      <c r="H8" s="543"/>
      <c r="I8" s="287"/>
    </row>
    <row r="9" spans="1:18" ht="12" hidden="1" x14ac:dyDescent="0.2">
      <c r="A9" s="539"/>
      <c r="B9" s="544" t="s">
        <v>67</v>
      </c>
      <c r="C9" s="533">
        <f>'May 2023'!F9</f>
        <v>0</v>
      </c>
      <c r="D9" s="541"/>
      <c r="E9" s="541"/>
      <c r="F9" s="536">
        <f t="shared" si="0"/>
        <v>0</v>
      </c>
      <c r="G9" s="537"/>
      <c r="H9" s="543"/>
      <c r="I9" s="289"/>
      <c r="J9" s="636"/>
    </row>
    <row r="10" spans="1:18" ht="12" hidden="1" x14ac:dyDescent="0.2">
      <c r="A10" s="539"/>
      <c r="B10" s="544" t="s">
        <v>41</v>
      </c>
      <c r="C10" s="533">
        <f>'May 2023'!F10</f>
        <v>-1.0000000002037268E-2</v>
      </c>
      <c r="D10" s="545"/>
      <c r="E10" s="545"/>
      <c r="F10" s="542">
        <f t="shared" si="0"/>
        <v>-1.0000000002037268E-2</v>
      </c>
      <c r="G10" s="537"/>
      <c r="H10" s="543"/>
      <c r="I10" s="291"/>
      <c r="J10" s="636"/>
    </row>
    <row r="11" spans="1:18" ht="12" x14ac:dyDescent="0.2">
      <c r="A11" s="539"/>
      <c r="B11" s="544" t="s">
        <v>117</v>
      </c>
      <c r="C11" s="533">
        <f>'May 2023'!F11</f>
        <v>326</v>
      </c>
      <c r="D11" s="546"/>
      <c r="E11" s="546"/>
      <c r="F11" s="536">
        <f t="shared" si="0"/>
        <v>326</v>
      </c>
      <c r="G11" s="537"/>
      <c r="H11" s="543"/>
      <c r="I11" s="293"/>
    </row>
    <row r="12" spans="1:18" ht="12" x14ac:dyDescent="0.2">
      <c r="A12" s="539"/>
      <c r="B12" s="544" t="s">
        <v>20</v>
      </c>
      <c r="C12" s="533">
        <f>'May 2023'!F12</f>
        <v>7053.7899999999991</v>
      </c>
      <c r="D12" s="547">
        <f>41.52+40</f>
        <v>81.52000000000001</v>
      </c>
      <c r="E12" s="547">
        <f>26.46+1274.2+15</f>
        <v>1315.66</v>
      </c>
      <c r="F12" s="548">
        <f>C12+D12-E12</f>
        <v>5819.65</v>
      </c>
      <c r="G12" s="537"/>
      <c r="H12" s="543"/>
      <c r="I12" s="636"/>
    </row>
    <row r="13" spans="1:18" ht="12" x14ac:dyDescent="0.2">
      <c r="A13" s="539"/>
      <c r="B13" s="544" t="s">
        <v>22</v>
      </c>
      <c r="C13" s="533">
        <f>'May 2023'!F13</f>
        <v>775.67999999999984</v>
      </c>
      <c r="D13" s="547">
        <v>204.99</v>
      </c>
      <c r="E13" s="547"/>
      <c r="F13" s="548">
        <f>C13+D13-E13</f>
        <v>980.66999999999985</v>
      </c>
      <c r="G13" s="537"/>
      <c r="H13" s="543"/>
      <c r="I13" s="636"/>
    </row>
    <row r="14" spans="1:18" ht="12" x14ac:dyDescent="0.2">
      <c r="A14" s="539"/>
      <c r="B14" s="544" t="s">
        <v>28</v>
      </c>
      <c r="C14" s="533">
        <f>'May 2023'!F14</f>
        <v>-129.75000000000114</v>
      </c>
      <c r="D14" s="547"/>
      <c r="E14" s="547">
        <v>383.67</v>
      </c>
      <c r="F14" s="542">
        <f t="shared" si="0"/>
        <v>-513.42000000000121</v>
      </c>
      <c r="G14" s="537"/>
      <c r="H14" s="543"/>
      <c r="I14" s="636"/>
    </row>
    <row r="15" spans="1:18" ht="12" x14ac:dyDescent="0.2">
      <c r="A15" s="539"/>
      <c r="B15" s="549" t="s">
        <v>42</v>
      </c>
      <c r="C15" s="533">
        <f>'May 2023'!F15</f>
        <v>-614.1099999999999</v>
      </c>
      <c r="D15" s="541"/>
      <c r="E15" s="541"/>
      <c r="F15" s="550">
        <f t="shared" si="0"/>
        <v>-614.1099999999999</v>
      </c>
      <c r="G15" s="537"/>
      <c r="H15" s="543"/>
      <c r="I15" s="636"/>
    </row>
    <row r="16" spans="1:18" ht="12" x14ac:dyDescent="0.2">
      <c r="A16" s="539"/>
      <c r="B16" s="549" t="s">
        <v>43</v>
      </c>
      <c r="C16" s="533">
        <f>'May 2023'!F16</f>
        <v>-1051.7800000000004</v>
      </c>
      <c r="D16" s="541"/>
      <c r="E16" s="541">
        <v>12.91</v>
      </c>
      <c r="F16" s="548">
        <f>C16+D16-E16</f>
        <v>-1064.6900000000005</v>
      </c>
      <c r="G16" s="537"/>
      <c r="H16" s="543"/>
      <c r="I16" s="273"/>
      <c r="P16" s="636"/>
    </row>
    <row r="17" spans="1:16" ht="12" x14ac:dyDescent="0.2">
      <c r="A17" s="823" t="s">
        <v>53</v>
      </c>
      <c r="B17" s="823"/>
      <c r="C17" s="551">
        <f>SUM(C18:C22)</f>
        <v>-8784.4500000000044</v>
      </c>
      <c r="D17" s="552">
        <f>SUM(D18:D22)</f>
        <v>0</v>
      </c>
      <c r="E17" s="552">
        <f>SUM(E18:E22)</f>
        <v>12404.18</v>
      </c>
      <c r="F17" s="542">
        <f>SUM(F18:F22)</f>
        <v>-21188.63</v>
      </c>
      <c r="G17" s="553">
        <f>SUM(G20+G22+G18)</f>
        <v>18500</v>
      </c>
      <c r="H17" s="543"/>
      <c r="I17" s="273"/>
      <c r="P17" s="636"/>
    </row>
    <row r="18" spans="1:16" ht="12" x14ac:dyDescent="0.2">
      <c r="A18" s="554"/>
      <c r="B18" s="555" t="s">
        <v>9</v>
      </c>
      <c r="C18" s="556">
        <f>'May 2023'!F18+0.01</f>
        <v>164.64999999999759</v>
      </c>
      <c r="D18" s="557"/>
      <c r="E18" s="558">
        <v>2564.9499999999998</v>
      </c>
      <c r="F18" s="559">
        <f>C18+D18-E18</f>
        <v>-2400.300000000002</v>
      </c>
      <c r="G18" s="541">
        <v>5000</v>
      </c>
      <c r="H18" s="560"/>
      <c r="I18" s="636"/>
      <c r="J18" s="79"/>
    </row>
    <row r="19" spans="1:16" ht="12" x14ac:dyDescent="0.2">
      <c r="A19" s="539"/>
      <c r="B19" s="561" t="s">
        <v>8</v>
      </c>
      <c r="C19" s="556">
        <f>'May 2023'!F19+0.01</f>
        <v>-4427.59</v>
      </c>
      <c r="D19" s="547"/>
      <c r="E19" s="545">
        <f>3954.07+3839.53</f>
        <v>7793.6</v>
      </c>
      <c r="F19" s="559">
        <f>C19+D19-E19</f>
        <v>-12221.19</v>
      </c>
      <c r="G19" s="562"/>
      <c r="H19" s="560"/>
      <c r="I19" s="636"/>
    </row>
    <row r="20" spans="1:16" ht="12" x14ac:dyDescent="0.2">
      <c r="A20" s="539"/>
      <c r="B20" s="563" t="s">
        <v>32</v>
      </c>
      <c r="C20" s="556">
        <f>'May 2023'!F20+0.01</f>
        <v>-1437.2900000000004</v>
      </c>
      <c r="D20" s="547"/>
      <c r="E20" s="545">
        <v>1161.92</v>
      </c>
      <c r="F20" s="559">
        <f t="shared" ref="F20:F22" si="1">C20+D20-E20</f>
        <v>-2599.2100000000005</v>
      </c>
      <c r="G20" s="564">
        <v>5000</v>
      </c>
      <c r="H20" s="560"/>
      <c r="I20" s="636"/>
    </row>
    <row r="21" spans="1:16" ht="12" x14ac:dyDescent="0.2">
      <c r="A21" s="539"/>
      <c r="B21" s="561" t="s">
        <v>67</v>
      </c>
      <c r="C21" s="556">
        <f>'May 2023'!F21+0.01</f>
        <v>-212.74</v>
      </c>
      <c r="D21" s="547"/>
      <c r="E21" s="547">
        <v>98.19</v>
      </c>
      <c r="F21" s="559">
        <f t="shared" si="1"/>
        <v>-310.93</v>
      </c>
      <c r="G21" s="564"/>
      <c r="H21" s="560"/>
      <c r="I21" s="636"/>
    </row>
    <row r="22" spans="1:16" ht="12" x14ac:dyDescent="0.2">
      <c r="A22" s="565"/>
      <c r="B22" s="566" t="s">
        <v>38</v>
      </c>
      <c r="C22" s="556">
        <f>'May 2023'!F22+0.01</f>
        <v>-2871.4800000000005</v>
      </c>
      <c r="D22" s="567"/>
      <c r="E22" s="558">
        <v>785.52</v>
      </c>
      <c r="F22" s="559">
        <f t="shared" si="1"/>
        <v>-3657.0000000000005</v>
      </c>
      <c r="G22" s="541">
        <v>8500</v>
      </c>
      <c r="H22" s="560"/>
      <c r="I22" s="636"/>
      <c r="J22" s="79"/>
    </row>
    <row r="23" spans="1:16" ht="12" x14ac:dyDescent="0.2">
      <c r="A23" s="824" t="s">
        <v>10</v>
      </c>
      <c r="B23" s="825"/>
      <c r="C23" s="551">
        <f>SUM(C24:C32)</f>
        <v>201577.33000000005</v>
      </c>
      <c r="D23" s="568">
        <f>SUM(D24:D32)</f>
        <v>450</v>
      </c>
      <c r="E23" s="569">
        <f>SUM(E24:E32)</f>
        <v>14765.39</v>
      </c>
      <c r="F23" s="569">
        <f>SUM(F24:F32)-0.08</f>
        <v>187261.88000000003</v>
      </c>
      <c r="G23" s="570"/>
      <c r="H23" s="543"/>
      <c r="I23" s="273"/>
      <c r="P23" s="636"/>
    </row>
    <row r="24" spans="1:16" ht="12" hidden="1" x14ac:dyDescent="0.2">
      <c r="A24" s="554"/>
      <c r="B24" s="571" t="s">
        <v>55</v>
      </c>
      <c r="C24" s="556">
        <f>'February 2021'!G24</f>
        <v>0</v>
      </c>
      <c r="D24" s="572"/>
      <c r="E24" s="557"/>
      <c r="F24" s="573">
        <f>C24+D24-E24</f>
        <v>0</v>
      </c>
      <c r="G24" s="534"/>
      <c r="H24" s="543"/>
      <c r="I24" s="636"/>
      <c r="J24" s="319"/>
    </row>
    <row r="25" spans="1:16" ht="12" hidden="1" x14ac:dyDescent="0.2">
      <c r="A25" s="565"/>
      <c r="B25" s="549" t="s">
        <v>70</v>
      </c>
      <c r="C25" s="556">
        <f>'January 2022'!F25</f>
        <v>7.9999999998108251E-2</v>
      </c>
      <c r="D25" s="567"/>
      <c r="E25" s="567"/>
      <c r="F25" s="573">
        <f>C25+D25-E25</f>
        <v>7.9999999998108251E-2</v>
      </c>
      <c r="G25" s="541"/>
      <c r="H25" s="543"/>
      <c r="I25" s="636"/>
      <c r="J25" s="319"/>
    </row>
    <row r="26" spans="1:16" ht="12" hidden="1" x14ac:dyDescent="0.2">
      <c r="A26" s="531"/>
      <c r="B26" s="574" t="s">
        <v>105</v>
      </c>
      <c r="C26" s="556">
        <f>'April 2023'!F26</f>
        <v>-1.9999999992592166E-2</v>
      </c>
      <c r="D26" s="558"/>
      <c r="E26" s="575"/>
      <c r="F26" s="573">
        <f>C26+D26-E26+0.02</f>
        <v>7.4078347622741347E-12</v>
      </c>
      <c r="G26" s="541"/>
      <c r="H26" s="543"/>
      <c r="I26" s="636"/>
      <c r="J26" s="636"/>
    </row>
    <row r="27" spans="1:16" ht="12" hidden="1" x14ac:dyDescent="0.2">
      <c r="A27" s="531"/>
      <c r="B27" s="574" t="s">
        <v>39</v>
      </c>
      <c r="C27" s="556">
        <f>'April 2023'!F27</f>
        <v>8.1854523159563541E-12</v>
      </c>
      <c r="D27" s="567"/>
      <c r="E27" s="558"/>
      <c r="F27" s="573">
        <f t="shared" ref="F27:F31" si="2">C27+D27-E27</f>
        <v>8.1854523159563541E-12</v>
      </c>
      <c r="G27" s="541"/>
      <c r="H27" s="543"/>
      <c r="I27" s="636"/>
      <c r="J27" s="636"/>
    </row>
    <row r="28" spans="1:16" ht="12" x14ac:dyDescent="0.2">
      <c r="A28" s="531"/>
      <c r="B28" s="574" t="s">
        <v>115</v>
      </c>
      <c r="C28" s="556">
        <f>'May 2023'!F28</f>
        <v>18390.919999999998</v>
      </c>
      <c r="D28" s="567"/>
      <c r="E28" s="567"/>
      <c r="F28" s="573">
        <f t="shared" si="2"/>
        <v>18390.919999999998</v>
      </c>
      <c r="G28" s="541"/>
      <c r="H28" s="543"/>
      <c r="I28" s="636"/>
      <c r="J28" s="636"/>
    </row>
    <row r="29" spans="1:16" ht="12" hidden="1" x14ac:dyDescent="0.2">
      <c r="A29" s="531"/>
      <c r="B29" s="574" t="s">
        <v>86</v>
      </c>
      <c r="C29" s="556">
        <f>'May 2023'!F29</f>
        <v>-1.9326762412674725E-12</v>
      </c>
      <c r="D29" s="567"/>
      <c r="E29" s="567"/>
      <c r="F29" s="573">
        <f t="shared" si="2"/>
        <v>-1.9326762412674725E-12</v>
      </c>
      <c r="G29" s="541"/>
      <c r="H29" s="543"/>
      <c r="I29" s="636"/>
      <c r="J29" s="636"/>
    </row>
    <row r="30" spans="1:16" ht="12" x14ac:dyDescent="0.2">
      <c r="A30" s="531"/>
      <c r="B30" s="574" t="s">
        <v>101</v>
      </c>
      <c r="C30" s="556">
        <f>'May 2023'!F30</f>
        <v>76079.900000000023</v>
      </c>
      <c r="D30" s="567"/>
      <c r="E30" s="567">
        <v>13221.75</v>
      </c>
      <c r="F30" s="573">
        <f t="shared" si="2"/>
        <v>62858.150000000023</v>
      </c>
      <c r="G30" s="541"/>
      <c r="H30" s="543"/>
      <c r="I30" s="636"/>
      <c r="J30" s="636"/>
    </row>
    <row r="31" spans="1:16" ht="12" x14ac:dyDescent="0.2">
      <c r="A31" s="531"/>
      <c r="B31" s="574" t="s">
        <v>119</v>
      </c>
      <c r="C31" s="556">
        <f>'May 2023'!F31</f>
        <v>118184</v>
      </c>
      <c r="D31" s="567"/>
      <c r="E31" s="567"/>
      <c r="F31" s="573">
        <f t="shared" si="2"/>
        <v>118184</v>
      </c>
      <c r="G31" s="541"/>
      <c r="H31" s="543"/>
      <c r="I31" s="636"/>
      <c r="J31" s="636"/>
    </row>
    <row r="32" spans="1:16" ht="12" x14ac:dyDescent="0.2">
      <c r="A32" s="531"/>
      <c r="B32" s="549" t="s">
        <v>44</v>
      </c>
      <c r="C32" s="556">
        <f>'May 2023'!F32</f>
        <v>-11077.550000000001</v>
      </c>
      <c r="D32" s="567">
        <v>450</v>
      </c>
      <c r="E32" s="558">
        <v>1543.64</v>
      </c>
      <c r="F32" s="573">
        <f>C32+D32-E32</f>
        <v>-12171.19</v>
      </c>
      <c r="G32" s="541"/>
      <c r="H32" s="543"/>
      <c r="I32" s="636"/>
      <c r="J32" s="636"/>
    </row>
    <row r="33" spans="1:16" ht="12" x14ac:dyDescent="0.2">
      <c r="A33" s="826" t="s">
        <v>35</v>
      </c>
      <c r="B33" s="827"/>
      <c r="C33" s="551">
        <f>SUM(C34:C40)</f>
        <v>96346.74</v>
      </c>
      <c r="D33" s="568">
        <f>SUM(D34:D40)</f>
        <v>6049</v>
      </c>
      <c r="E33" s="569">
        <f>SUM(E34:E40)</f>
        <v>3637.18</v>
      </c>
      <c r="F33" s="569">
        <f>SUM(F34:F40)</f>
        <v>98758.560000000012</v>
      </c>
      <c r="G33" s="570">
        <f>SUM(G34:G37)</f>
        <v>35000</v>
      </c>
      <c r="H33" s="543"/>
      <c r="I33" s="273"/>
      <c r="P33" s="636"/>
    </row>
    <row r="34" spans="1:16" ht="12" x14ac:dyDescent="0.2">
      <c r="A34" s="565"/>
      <c r="B34" s="549" t="s">
        <v>125</v>
      </c>
      <c r="C34" s="556">
        <f>'May 2023'!F34</f>
        <v>31310.33</v>
      </c>
      <c r="D34" s="576"/>
      <c r="E34" s="577"/>
      <c r="F34" s="578">
        <f>C34+D34-E34</f>
        <v>31310.33</v>
      </c>
      <c r="G34" s="541"/>
      <c r="H34" s="543"/>
      <c r="I34" s="636"/>
      <c r="J34" s="319"/>
    </row>
    <row r="35" spans="1:16" ht="12" x14ac:dyDescent="0.2">
      <c r="A35" s="565"/>
      <c r="B35" s="549" t="s">
        <v>90</v>
      </c>
      <c r="C35" s="556">
        <f>'May 2023'!F35</f>
        <v>20445.71000000001</v>
      </c>
      <c r="D35" s="576"/>
      <c r="E35" s="577">
        <v>95.92</v>
      </c>
      <c r="F35" s="578">
        <f t="shared" ref="F35:F36" si="3">C35+D35-E35</f>
        <v>20349.790000000012</v>
      </c>
      <c r="G35" s="541">
        <v>35000</v>
      </c>
      <c r="H35" s="543"/>
      <c r="I35" s="636"/>
      <c r="J35" s="319"/>
    </row>
    <row r="36" spans="1:16" ht="12" x14ac:dyDescent="0.2">
      <c r="A36" s="565"/>
      <c r="B36" s="549" t="s">
        <v>138</v>
      </c>
      <c r="C36" s="556">
        <v>0</v>
      </c>
      <c r="D36" s="576">
        <v>6049</v>
      </c>
      <c r="E36" s="577"/>
      <c r="F36" s="578">
        <f t="shared" si="3"/>
        <v>6049</v>
      </c>
      <c r="G36" s="541"/>
      <c r="H36" s="543"/>
      <c r="I36" s="636"/>
      <c r="J36" s="319"/>
    </row>
    <row r="37" spans="1:16" ht="12" x14ac:dyDescent="0.2">
      <c r="A37" s="565"/>
      <c r="B37" s="579" t="s">
        <v>120</v>
      </c>
      <c r="C37" s="556">
        <f>'May 2023'!F36</f>
        <v>22716.799999999999</v>
      </c>
      <c r="D37" s="576"/>
      <c r="E37" s="558">
        <v>98.19</v>
      </c>
      <c r="F37" s="578">
        <f>C37+D37-E37</f>
        <v>22618.61</v>
      </c>
      <c r="G37" s="541"/>
      <c r="H37" s="543"/>
      <c r="I37" s="293"/>
      <c r="J37" s="266"/>
      <c r="P37" s="326"/>
    </row>
    <row r="38" spans="1:16" ht="12" x14ac:dyDescent="0.2">
      <c r="A38" s="638"/>
      <c r="B38" s="638" t="s">
        <v>99</v>
      </c>
      <c r="C38" s="556">
        <f>'May 2023'!F37</f>
        <v>10550</v>
      </c>
      <c r="D38" s="580"/>
      <c r="E38" s="638"/>
      <c r="F38" s="578">
        <f>C38+D38-E38</f>
        <v>10550</v>
      </c>
      <c r="G38" s="638"/>
      <c r="H38" s="638"/>
    </row>
    <row r="39" spans="1:16" ht="12" x14ac:dyDescent="0.2">
      <c r="A39" s="638"/>
      <c r="B39" s="638" t="s">
        <v>131</v>
      </c>
      <c r="C39" s="556">
        <f>'May 2023'!F38</f>
        <v>12427.25</v>
      </c>
      <c r="D39" s="582"/>
      <c r="E39" s="638">
        <v>794.75</v>
      </c>
      <c r="F39" s="578">
        <f>C39+D39-E39</f>
        <v>11632.5</v>
      </c>
      <c r="G39" s="638"/>
      <c r="H39" s="638"/>
    </row>
    <row r="40" spans="1:16" ht="12.75" thickBot="1" x14ac:dyDescent="0.25">
      <c r="A40" s="638"/>
      <c r="B40" s="583" t="s">
        <v>111</v>
      </c>
      <c r="C40" s="556">
        <f>'May 2023'!F39</f>
        <v>-1103.3500000000001</v>
      </c>
      <c r="D40" s="584"/>
      <c r="E40" s="638">
        <f>527.72+2120.6</f>
        <v>2648.3199999999997</v>
      </c>
      <c r="F40" s="578">
        <f>C40+D40-E40</f>
        <v>-3751.67</v>
      </c>
      <c r="G40" s="638"/>
      <c r="H40" s="638"/>
    </row>
    <row r="41" spans="1:16" ht="12.75" thickBot="1" x14ac:dyDescent="0.25">
      <c r="A41" s="828" t="s">
        <v>11</v>
      </c>
      <c r="B41" s="812"/>
      <c r="C41" s="585">
        <f>C33+C23+C17+C6</f>
        <v>523293.73000000004</v>
      </c>
      <c r="D41" s="627">
        <f>SUM(D23,D17,D6,D33)</f>
        <v>12862.6</v>
      </c>
      <c r="E41" s="587">
        <f>SUM(E23,E17,E6,E33)</f>
        <v>47878.75</v>
      </c>
      <c r="F41" s="588">
        <f>SUM(F23,F17,F6,F33)</f>
        <v>488277.52</v>
      </c>
      <c r="G41" s="589">
        <f>SUM(G6,G17,G23,G33)</f>
        <v>53500</v>
      </c>
      <c r="H41" s="639"/>
      <c r="I41" s="636"/>
      <c r="J41" s="331"/>
    </row>
    <row r="42" spans="1:16" ht="12" hidden="1" x14ac:dyDescent="0.2">
      <c r="A42" s="641"/>
      <c r="B42" s="637"/>
      <c r="C42" s="639">
        <f>SUM(C17:C22)</f>
        <v>-17568.900000000009</v>
      </c>
      <c r="D42" s="639"/>
      <c r="E42" s="639"/>
      <c r="F42" s="639"/>
      <c r="G42" s="593"/>
      <c r="H42" s="639"/>
      <c r="K42" s="635" t="s">
        <v>12</v>
      </c>
      <c r="L42" s="635">
        <v>42.43</v>
      </c>
    </row>
    <row r="43" spans="1:16" ht="12.75" hidden="1" thickBot="1" x14ac:dyDescent="0.25">
      <c r="A43" s="594" t="s">
        <v>25</v>
      </c>
      <c r="B43" s="595"/>
      <c r="C43" s="596" t="e">
        <f>SUM(C41,#REF!)</f>
        <v>#REF!</v>
      </c>
      <c r="D43" s="597" t="e">
        <f>SUM(D41,#REF!)</f>
        <v>#REF!</v>
      </c>
      <c r="E43" s="597" t="e">
        <f>SUM(E41,#REF!)</f>
        <v>#REF!</v>
      </c>
      <c r="F43" s="598" t="e">
        <f>SUM(F41,#REF!)</f>
        <v>#REF!</v>
      </c>
      <c r="G43" s="593"/>
      <c r="H43" s="639"/>
      <c r="I43" s="331"/>
      <c r="J43" s="79">
        <v>206730.35</v>
      </c>
    </row>
    <row r="44" spans="1:16" ht="12.75" thickBot="1" x14ac:dyDescent="0.25">
      <c r="A44" s="638"/>
      <c r="B44" s="599"/>
      <c r="C44" s="639"/>
      <c r="D44" s="639"/>
      <c r="E44" s="639"/>
      <c r="F44" s="639"/>
      <c r="G44" s="593"/>
      <c r="H44" s="600"/>
      <c r="I44" s="331"/>
      <c r="J44" s="79"/>
      <c r="P44" s="636"/>
    </row>
    <row r="45" spans="1:16" ht="12.75" thickBot="1" x14ac:dyDescent="0.25">
      <c r="A45" s="829" t="s">
        <v>13</v>
      </c>
      <c r="B45" s="830"/>
      <c r="C45" s="601" t="s">
        <v>2</v>
      </c>
      <c r="D45" s="601" t="s">
        <v>3</v>
      </c>
      <c r="E45" s="601" t="s">
        <v>27</v>
      </c>
      <c r="F45" s="601" t="s">
        <v>5</v>
      </c>
      <c r="G45" s="602"/>
      <c r="H45" s="603"/>
      <c r="I45" s="343"/>
    </row>
    <row r="46" spans="1:16" ht="12.75" thickBot="1" x14ac:dyDescent="0.25">
      <c r="A46" s="815" t="s">
        <v>14</v>
      </c>
      <c r="B46" s="816"/>
      <c r="C46" s="604">
        <f>'May 2023'!F45</f>
        <v>125.32999999999997</v>
      </c>
      <c r="D46" s="605">
        <v>100</v>
      </c>
      <c r="E46" s="605">
        <v>46.88</v>
      </c>
      <c r="F46" s="606">
        <f>C46+D46-E46</f>
        <v>178.45</v>
      </c>
      <c r="G46" s="639"/>
      <c r="H46" s="638"/>
      <c r="I46" s="331"/>
      <c r="J46" s="79"/>
    </row>
    <row r="47" spans="1:16" ht="12.75" thickBot="1" x14ac:dyDescent="0.25">
      <c r="A47" s="831" t="s">
        <v>15</v>
      </c>
      <c r="B47" s="832"/>
      <c r="C47" s="604">
        <f>'May 2023'!F46</f>
        <v>9117.6800000000076</v>
      </c>
      <c r="D47" s="607">
        <v>59000</v>
      </c>
      <c r="E47" s="607">
        <v>33637.040000000001</v>
      </c>
      <c r="F47" s="606">
        <f>C47+D47-E47</f>
        <v>34480.640000000007</v>
      </c>
      <c r="G47" s="639"/>
      <c r="H47" s="608"/>
      <c r="I47" s="331"/>
    </row>
    <row r="48" spans="1:16" ht="12.75" thickBot="1" x14ac:dyDescent="0.25">
      <c r="A48" s="609"/>
      <c r="B48" s="610" t="s">
        <v>21</v>
      </c>
      <c r="C48" s="604">
        <f>'May 2023'!F47</f>
        <v>0</v>
      </c>
      <c r="D48" s="611"/>
      <c r="E48" s="611"/>
      <c r="F48" s="606">
        <f t="shared" ref="F48:F50" si="4">C48+D48-E48</f>
        <v>0</v>
      </c>
      <c r="G48" s="639"/>
      <c r="H48" s="608"/>
      <c r="I48" s="79"/>
    </row>
    <row r="49" spans="1:16" ht="12.75" thickBot="1" x14ac:dyDescent="0.25">
      <c r="A49" s="609"/>
      <c r="B49" s="610" t="s">
        <v>40</v>
      </c>
      <c r="C49" s="604">
        <f>'May 2023'!F48</f>
        <v>-6070.3000000000011</v>
      </c>
      <c r="D49" s="612">
        <v>5568.78</v>
      </c>
      <c r="E49" s="612">
        <v>12437.51</v>
      </c>
      <c r="F49" s="606">
        <f>C49+D49-E49</f>
        <v>-12939.030000000002</v>
      </c>
      <c r="G49" s="639"/>
      <c r="H49" s="613"/>
      <c r="I49" s="79"/>
    </row>
    <row r="50" spans="1:16" ht="12.75" thickBot="1" x14ac:dyDescent="0.25">
      <c r="A50" s="815" t="s">
        <v>16</v>
      </c>
      <c r="B50" s="816"/>
      <c r="C50" s="604">
        <f>'May 2023'!F49</f>
        <v>296996.46000000008</v>
      </c>
      <c r="D50" s="614">
        <v>6288.08</v>
      </c>
      <c r="E50" s="614">
        <v>59000</v>
      </c>
      <c r="F50" s="606">
        <f t="shared" si="4"/>
        <v>244284.5400000001</v>
      </c>
      <c r="G50" s="639"/>
      <c r="H50" s="613"/>
      <c r="I50" s="79"/>
    </row>
    <row r="51" spans="1:16" ht="12.75" thickBot="1" x14ac:dyDescent="0.25">
      <c r="A51" s="615" t="s">
        <v>46</v>
      </c>
      <c r="B51" s="616"/>
      <c r="C51" s="604">
        <f>'May 2023'!F50</f>
        <v>223124.70999999996</v>
      </c>
      <c r="D51" s="576">
        <v>222.01</v>
      </c>
      <c r="E51" s="576">
        <f>1000+35.03+38.51</f>
        <v>1073.54</v>
      </c>
      <c r="F51" s="606">
        <f>C51+D51-E51</f>
        <v>222273.17999999996</v>
      </c>
      <c r="G51" s="639"/>
      <c r="H51" s="613"/>
      <c r="I51" s="79"/>
    </row>
    <row r="52" spans="1:16" ht="12.75" thickBot="1" x14ac:dyDescent="0.25">
      <c r="A52" s="811"/>
      <c r="B52" s="812"/>
      <c r="C52" s="617">
        <f>SUM(C46+C47+C50+C51+C49+C48)</f>
        <v>523293.88000000006</v>
      </c>
      <c r="D52" s="618">
        <f>SUM(D46:D51)</f>
        <v>71178.87</v>
      </c>
      <c r="E52" s="618">
        <f>SUM(E46:E51)</f>
        <v>106194.96999999999</v>
      </c>
      <c r="F52" s="606">
        <f>C52+D52-E52+0.04</f>
        <v>488277.82</v>
      </c>
      <c r="G52" s="639"/>
      <c r="H52" s="603"/>
      <c r="I52" s="79"/>
      <c r="J52" s="266"/>
    </row>
    <row r="53" spans="1:16" ht="12" x14ac:dyDescent="0.2">
      <c r="A53" s="641"/>
      <c r="B53" s="637"/>
      <c r="C53" s="639">
        <f>C41-C52</f>
        <v>-0.15000000002328306</v>
      </c>
      <c r="D53" s="639"/>
      <c r="E53" s="639"/>
      <c r="F53" s="639">
        <f>F41-F52</f>
        <v>-0.29999999998835847</v>
      </c>
      <c r="G53" s="638"/>
      <c r="H53" s="639"/>
      <c r="I53" s="331"/>
      <c r="J53" s="331"/>
      <c r="K53" s="266"/>
    </row>
    <row r="54" spans="1:16" ht="12" x14ac:dyDescent="0.2">
      <c r="A54" s="638"/>
      <c r="B54" s="599"/>
      <c r="C54" s="639"/>
      <c r="D54" s="639"/>
      <c r="E54" s="639"/>
      <c r="F54" s="639"/>
      <c r="G54" s="639"/>
      <c r="H54" s="639"/>
      <c r="I54" s="331"/>
    </row>
    <row r="55" spans="1:16" ht="12" x14ac:dyDescent="0.2">
      <c r="A55" s="813" t="s">
        <v>17</v>
      </c>
      <c r="B55" s="813"/>
      <c r="C55" s="813"/>
      <c r="D55" s="813"/>
      <c r="E55" s="814" t="s">
        <v>18</v>
      </c>
      <c r="F55" s="814"/>
      <c r="G55" s="639"/>
      <c r="H55" s="639"/>
      <c r="J55" s="331"/>
    </row>
    <row r="56" spans="1:16" ht="12" x14ac:dyDescent="0.2">
      <c r="A56" s="638"/>
      <c r="B56" s="638"/>
      <c r="C56" s="639"/>
      <c r="D56" s="639"/>
      <c r="E56" s="639"/>
      <c r="F56" s="639"/>
      <c r="G56" s="639"/>
      <c r="H56" s="639"/>
    </row>
    <row r="57" spans="1:16" ht="12" x14ac:dyDescent="0.2">
      <c r="A57" s="813" t="s">
        <v>19</v>
      </c>
      <c r="B57" s="813"/>
      <c r="C57" s="813"/>
      <c r="D57" s="813"/>
      <c r="E57" s="814" t="s">
        <v>18</v>
      </c>
      <c r="F57" s="814"/>
      <c r="G57" s="639"/>
      <c r="H57" s="639"/>
    </row>
    <row r="58" spans="1:16" ht="12" x14ac:dyDescent="0.2">
      <c r="A58" s="641"/>
      <c r="B58" s="637"/>
      <c r="C58" s="524"/>
      <c r="D58" s="524"/>
      <c r="E58" s="524"/>
      <c r="F58" s="613"/>
      <c r="G58" s="524"/>
      <c r="H58" s="524"/>
      <c r="I58" s="331"/>
      <c r="J58" s="79"/>
      <c r="P58" s="364"/>
    </row>
    <row r="59" spans="1:16" ht="12" x14ac:dyDescent="0.2">
      <c r="A59" s="638"/>
      <c r="B59" s="599"/>
      <c r="C59" s="603"/>
      <c r="D59" s="603"/>
      <c r="E59" s="603"/>
      <c r="H59" s="638"/>
      <c r="I59" s="331"/>
      <c r="J59" s="343"/>
      <c r="L59" s="266"/>
      <c r="P59" s="364"/>
    </row>
    <row r="60" spans="1:16" x14ac:dyDescent="0.2">
      <c r="B60" s="340"/>
      <c r="C60" s="79"/>
      <c r="D60" s="331"/>
      <c r="J60" s="331"/>
    </row>
  </sheetData>
  <mergeCells count="17">
    <mergeCell ref="A50:B50"/>
    <mergeCell ref="A2:G2"/>
    <mergeCell ref="A3:G3"/>
    <mergeCell ref="A5:B5"/>
    <mergeCell ref="A6:B6"/>
    <mergeCell ref="A17:B17"/>
    <mergeCell ref="A23:B23"/>
    <mergeCell ref="A33:B33"/>
    <mergeCell ref="A41:B41"/>
    <mergeCell ref="A45:B45"/>
    <mergeCell ref="A46:B46"/>
    <mergeCell ref="A47:B47"/>
    <mergeCell ref="A52:B52"/>
    <mergeCell ref="A55:D55"/>
    <mergeCell ref="E55:F55"/>
    <mergeCell ref="A57:D57"/>
    <mergeCell ref="E57:F57"/>
  </mergeCells>
  <pageMargins left="0.7" right="0.7" top="0.75" bottom="0.75" header="0.3" footer="0.3"/>
  <pageSetup scale="93" orientation="portrait" r:id="rId1"/>
  <legacy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B1020-6A1A-421B-AE03-485261502F97}">
  <sheetPr>
    <pageSetUpPr fitToPage="1"/>
  </sheetPr>
  <dimension ref="A1:R61"/>
  <sheetViews>
    <sheetView topLeftCell="A17" zoomScale="110" zoomScaleNormal="110" workbookViewId="0">
      <selection activeCell="D51" sqref="D51"/>
    </sheetView>
  </sheetViews>
  <sheetFormatPr defaultColWidth="9.140625" defaultRowHeight="11.25" x14ac:dyDescent="0.2"/>
  <cols>
    <col min="1" max="1" width="10.7109375" style="642" customWidth="1"/>
    <col min="2" max="2" width="26" style="642" customWidth="1"/>
    <col min="3" max="3" width="10" style="642" customWidth="1"/>
    <col min="4" max="4" width="8.85546875" style="642" customWidth="1"/>
    <col min="5" max="5" width="8.7109375" style="642" customWidth="1"/>
    <col min="6" max="6" width="10.28515625" style="642" customWidth="1"/>
    <col min="7" max="7" width="8.85546875" style="642" customWidth="1"/>
    <col min="8" max="8" width="13.85546875" style="642" customWidth="1"/>
    <col min="9" max="9" width="14.7109375" style="642" customWidth="1"/>
    <col min="10" max="10" width="14.5703125" style="642" customWidth="1"/>
    <col min="11" max="11" width="11.28515625" style="642" customWidth="1"/>
    <col min="12" max="15" width="9.140625" style="642"/>
    <col min="16" max="16" width="13" style="642" customWidth="1"/>
    <col min="17" max="16384" width="9.140625" style="642"/>
  </cols>
  <sheetData>
    <row r="1" spans="1:18" hidden="1" x14ac:dyDescent="0.2"/>
    <row r="2" spans="1:18" ht="12" x14ac:dyDescent="0.2">
      <c r="A2" s="817" t="s">
        <v>0</v>
      </c>
      <c r="B2" s="817"/>
      <c r="C2" s="817"/>
      <c r="D2" s="817"/>
      <c r="E2" s="817"/>
      <c r="F2" s="817"/>
      <c r="G2" s="817"/>
      <c r="H2" s="647"/>
    </row>
    <row r="3" spans="1:18" ht="12" x14ac:dyDescent="0.2">
      <c r="A3" s="818" t="s">
        <v>140</v>
      </c>
      <c r="B3" s="818"/>
      <c r="C3" s="818"/>
      <c r="D3" s="818"/>
      <c r="E3" s="818"/>
      <c r="F3" s="818"/>
      <c r="G3" s="818"/>
      <c r="H3" s="526" t="s">
        <v>133</v>
      </c>
      <c r="I3" s="645"/>
    </row>
    <row r="4" spans="1:18" ht="12.75" thickBot="1" x14ac:dyDescent="0.25">
      <c r="A4" s="645"/>
      <c r="B4" s="523" t="s">
        <v>37</v>
      </c>
      <c r="C4" s="645"/>
      <c r="D4" s="645"/>
      <c r="E4" s="645"/>
      <c r="F4" s="524"/>
      <c r="G4" s="645"/>
      <c r="H4" s="530" t="s">
        <v>134</v>
      </c>
    </row>
    <row r="5" spans="1:18" ht="15.75" customHeight="1" x14ac:dyDescent="0.2">
      <c r="A5" s="819" t="s">
        <v>1</v>
      </c>
      <c r="B5" s="820"/>
      <c r="C5" s="525" t="s">
        <v>2</v>
      </c>
      <c r="D5" s="525" t="s">
        <v>3</v>
      </c>
      <c r="E5" s="525" t="s">
        <v>58</v>
      </c>
      <c r="F5" s="525" t="s">
        <v>5</v>
      </c>
      <c r="G5" s="525" t="s">
        <v>6</v>
      </c>
      <c r="H5" s="538" t="s">
        <v>135</v>
      </c>
    </row>
    <row r="6" spans="1:18" ht="12" x14ac:dyDescent="0.2">
      <c r="A6" s="821" t="s">
        <v>132</v>
      </c>
      <c r="B6" s="822"/>
      <c r="C6" s="527">
        <f>SUM(C7:C16)</f>
        <v>223445.71</v>
      </c>
      <c r="D6" s="528">
        <f>SUM(D7:D17)</f>
        <v>82642.12</v>
      </c>
      <c r="E6" s="528">
        <f>SUM(E7:E17)</f>
        <v>2023.6800000000005</v>
      </c>
      <c r="F6" s="528">
        <f>SUM(F7:F17)</f>
        <v>304064.14999999997</v>
      </c>
      <c r="G6" s="529">
        <f>SUM(G7:G15)</f>
        <v>0</v>
      </c>
      <c r="I6" s="273"/>
      <c r="J6" s="273"/>
      <c r="K6" s="643"/>
      <c r="P6" s="643"/>
      <c r="R6" s="643"/>
    </row>
    <row r="7" spans="1:18" ht="12" customHeight="1" x14ac:dyDescent="0.2">
      <c r="A7" s="531"/>
      <c r="B7" s="532" t="s">
        <v>23</v>
      </c>
      <c r="C7" s="533">
        <f>'June 2023'!F7</f>
        <v>220983.72999999998</v>
      </c>
      <c r="D7" s="534">
        <f>1761.2+427.04</f>
        <v>2188.2400000000002</v>
      </c>
      <c r="E7" s="535">
        <f>1000+2897.06+374.89+4769.54+1250-10095.63</f>
        <v>195.86000000000058</v>
      </c>
      <c r="F7" s="536">
        <f>C7+D7-E7</f>
        <v>222976.11</v>
      </c>
      <c r="G7" s="537"/>
      <c r="I7" s="643"/>
    </row>
    <row r="8" spans="1:18" ht="12" x14ac:dyDescent="0.2">
      <c r="A8" s="539"/>
      <c r="B8" s="540" t="s">
        <v>62</v>
      </c>
      <c r="C8" s="533">
        <f>'June 2023'!F8</f>
        <v>-2472.1099999999979</v>
      </c>
      <c r="D8" s="541"/>
      <c r="E8" s="541">
        <v>327.3</v>
      </c>
      <c r="F8" s="542">
        <f t="shared" ref="F8:F15" si="0">C8+D8-E8</f>
        <v>-2799.409999999998</v>
      </c>
      <c r="G8" s="537"/>
      <c r="H8" s="543"/>
      <c r="I8" s="287"/>
    </row>
    <row r="9" spans="1:18" ht="12" hidden="1" x14ac:dyDescent="0.2">
      <c r="A9" s="539"/>
      <c r="B9" s="544" t="s">
        <v>67</v>
      </c>
      <c r="C9" s="533">
        <f>'June 2023'!F9</f>
        <v>0</v>
      </c>
      <c r="D9" s="541"/>
      <c r="E9" s="541"/>
      <c r="F9" s="536">
        <f t="shared" si="0"/>
        <v>0</v>
      </c>
      <c r="G9" s="537"/>
      <c r="H9" s="543"/>
      <c r="I9" s="289"/>
      <c r="J9" s="643"/>
    </row>
    <row r="10" spans="1:18" ht="12" hidden="1" x14ac:dyDescent="0.2">
      <c r="A10" s="539"/>
      <c r="B10" s="544" t="s">
        <v>41</v>
      </c>
      <c r="C10" s="533">
        <f>'June 2023'!F10</f>
        <v>-1.0000000002037268E-2</v>
      </c>
      <c r="D10" s="545"/>
      <c r="E10" s="545"/>
      <c r="F10" s="542">
        <f t="shared" si="0"/>
        <v>-1.0000000002037268E-2</v>
      </c>
      <c r="G10" s="537"/>
      <c r="H10" s="543"/>
      <c r="I10" s="291"/>
      <c r="J10" s="643"/>
    </row>
    <row r="11" spans="1:18" ht="12" x14ac:dyDescent="0.2">
      <c r="A11" s="539"/>
      <c r="B11" s="544" t="s">
        <v>117</v>
      </c>
      <c r="C11" s="533">
        <f>'June 2023'!F11</f>
        <v>326</v>
      </c>
      <c r="D11" s="546"/>
      <c r="E11" s="546"/>
      <c r="F11" s="536">
        <f t="shared" si="0"/>
        <v>326</v>
      </c>
      <c r="G11" s="537"/>
      <c r="H11" s="543"/>
      <c r="I11" s="293"/>
    </row>
    <row r="12" spans="1:18" ht="12" x14ac:dyDescent="0.2">
      <c r="A12" s="539"/>
      <c r="B12" s="544" t="s">
        <v>20</v>
      </c>
      <c r="C12" s="533">
        <f>'June 2023'!F12</f>
        <v>5819.65</v>
      </c>
      <c r="D12" s="547"/>
      <c r="E12" s="547">
        <f>21.52+63.99</f>
        <v>85.51</v>
      </c>
      <c r="F12" s="548">
        <f>C12+D12-E12</f>
        <v>5734.1399999999994</v>
      </c>
      <c r="G12" s="537"/>
      <c r="H12" s="543"/>
      <c r="I12" s="643"/>
    </row>
    <row r="13" spans="1:18" ht="12" x14ac:dyDescent="0.2">
      <c r="A13" s="539"/>
      <c r="B13" s="544" t="s">
        <v>22</v>
      </c>
      <c r="C13" s="533">
        <f>'June 2023'!F13</f>
        <v>980.66999999999985</v>
      </c>
      <c r="D13" s="547">
        <v>8.43</v>
      </c>
      <c r="E13" s="547">
        <v>990</v>
      </c>
      <c r="F13" s="548">
        <f>C13+D13-E13</f>
        <v>-0.90000000000020464</v>
      </c>
      <c r="G13" s="537"/>
      <c r="H13" s="543"/>
      <c r="I13" s="643"/>
    </row>
    <row r="14" spans="1:18" ht="12" x14ac:dyDescent="0.2">
      <c r="A14" s="539"/>
      <c r="B14" s="544" t="s">
        <v>28</v>
      </c>
      <c r="C14" s="533">
        <f>'June 2023'!F14</f>
        <v>-513.42000000000121</v>
      </c>
      <c r="D14" s="547"/>
      <c r="E14" s="547">
        <v>205.54</v>
      </c>
      <c r="F14" s="542">
        <f t="shared" si="0"/>
        <v>-718.96000000000117</v>
      </c>
      <c r="G14" s="537"/>
      <c r="H14" s="543"/>
      <c r="I14" s="643"/>
    </row>
    <row r="15" spans="1:18" ht="12" x14ac:dyDescent="0.2">
      <c r="A15" s="539"/>
      <c r="B15" s="549" t="s">
        <v>42</v>
      </c>
      <c r="C15" s="533">
        <f>'June 2023'!F15</f>
        <v>-614.1099999999999</v>
      </c>
      <c r="D15" s="541">
        <v>1200</v>
      </c>
      <c r="E15" s="541">
        <v>219.47</v>
      </c>
      <c r="F15" s="550">
        <f t="shared" si="0"/>
        <v>366.42000000000007</v>
      </c>
      <c r="G15" s="537"/>
      <c r="H15" s="543"/>
      <c r="I15" s="643"/>
    </row>
    <row r="16" spans="1:18" ht="12" x14ac:dyDescent="0.2">
      <c r="A16" s="539"/>
      <c r="B16" s="549" t="s">
        <v>43</v>
      </c>
      <c r="C16" s="533">
        <f>'June 2023'!F16</f>
        <v>-1064.6900000000005</v>
      </c>
      <c r="D16" s="541"/>
      <c r="E16" s="541"/>
      <c r="F16" s="548">
        <f>C16+D16-E16</f>
        <v>-1064.6900000000005</v>
      </c>
      <c r="G16" s="537"/>
      <c r="H16" s="543"/>
      <c r="I16" s="273"/>
      <c r="P16" s="643"/>
    </row>
    <row r="17" spans="1:16" s="649" customFormat="1" ht="12" x14ac:dyDescent="0.2">
      <c r="A17" s="658"/>
      <c r="B17" s="659" t="s">
        <v>141</v>
      </c>
      <c r="C17" s="533">
        <v>0</v>
      </c>
      <c r="D17" s="541">
        <v>79245.45</v>
      </c>
      <c r="E17" s="541"/>
      <c r="F17" s="548">
        <f>C17+D17-E17</f>
        <v>79245.45</v>
      </c>
      <c r="G17" s="537"/>
      <c r="H17" s="543"/>
      <c r="I17" s="273"/>
      <c r="P17" s="650"/>
    </row>
    <row r="18" spans="1:16" ht="12" x14ac:dyDescent="0.2">
      <c r="A18" s="823" t="s">
        <v>53</v>
      </c>
      <c r="B18" s="823"/>
      <c r="C18" s="551">
        <f>SUM(C19:C23)</f>
        <v>-21188.58</v>
      </c>
      <c r="D18" s="552">
        <f>SUM(D19:D23)</f>
        <v>0</v>
      </c>
      <c r="E18" s="552">
        <f>SUM(E19:E23)</f>
        <v>10108.459999999999</v>
      </c>
      <c r="F18" s="542">
        <f>SUM(F19:F23)</f>
        <v>-31297.039999999997</v>
      </c>
      <c r="G18" s="553">
        <f>SUM(G21+G23+G19)</f>
        <v>18500</v>
      </c>
      <c r="H18" s="543"/>
      <c r="I18" s="273"/>
      <c r="P18" s="643"/>
    </row>
    <row r="19" spans="1:16" ht="12" x14ac:dyDescent="0.2">
      <c r="A19" s="554"/>
      <c r="B19" s="555" t="s">
        <v>9</v>
      </c>
      <c r="C19" s="556">
        <f>'June 2023'!F18+0.01</f>
        <v>-2400.2900000000018</v>
      </c>
      <c r="D19" s="557"/>
      <c r="E19" s="558">
        <v>2599.71</v>
      </c>
      <c r="F19" s="559">
        <f>C19+D19-E19</f>
        <v>-5000.0000000000018</v>
      </c>
      <c r="G19" s="541">
        <v>5000</v>
      </c>
      <c r="H19" s="560"/>
      <c r="I19" s="643"/>
      <c r="J19" s="79"/>
    </row>
    <row r="20" spans="1:16" ht="12" x14ac:dyDescent="0.2">
      <c r="A20" s="539"/>
      <c r="B20" s="561" t="s">
        <v>8</v>
      </c>
      <c r="C20" s="556">
        <f>'June 2023'!F19+0.01</f>
        <v>-12221.18</v>
      </c>
      <c r="D20" s="547"/>
      <c r="E20" s="545">
        <f>554.2+4663.44</f>
        <v>5217.6399999999994</v>
      </c>
      <c r="F20" s="559">
        <f>C20+D20-E20</f>
        <v>-17438.82</v>
      </c>
      <c r="G20" s="562"/>
      <c r="H20" s="560"/>
      <c r="I20" s="643"/>
    </row>
    <row r="21" spans="1:16" ht="12" x14ac:dyDescent="0.2">
      <c r="A21" s="539"/>
      <c r="B21" s="563" t="s">
        <v>32</v>
      </c>
      <c r="C21" s="556">
        <f>'June 2023'!F20+0.01</f>
        <v>-2599.2000000000003</v>
      </c>
      <c r="D21" s="547"/>
      <c r="E21" s="545">
        <v>834.62</v>
      </c>
      <c r="F21" s="559">
        <f t="shared" ref="F21:F23" si="1">C21+D21-E21</f>
        <v>-3433.82</v>
      </c>
      <c r="G21" s="564">
        <v>5000</v>
      </c>
      <c r="H21" s="560"/>
      <c r="I21" s="643"/>
    </row>
    <row r="22" spans="1:16" ht="12" x14ac:dyDescent="0.2">
      <c r="A22" s="539"/>
      <c r="B22" s="561" t="s">
        <v>67</v>
      </c>
      <c r="C22" s="556">
        <f>'June 2023'!F21+0.01</f>
        <v>-310.92</v>
      </c>
      <c r="D22" s="547"/>
      <c r="E22" s="547">
        <v>474.59</v>
      </c>
      <c r="F22" s="559">
        <f t="shared" si="1"/>
        <v>-785.51</v>
      </c>
      <c r="G22" s="564"/>
      <c r="H22" s="560"/>
      <c r="I22" s="643"/>
    </row>
    <row r="23" spans="1:16" ht="12" x14ac:dyDescent="0.2">
      <c r="A23" s="565"/>
      <c r="B23" s="566" t="s">
        <v>38</v>
      </c>
      <c r="C23" s="556">
        <f>'June 2023'!F22+0.01</f>
        <v>-3656.9900000000002</v>
      </c>
      <c r="D23" s="567"/>
      <c r="E23" s="558">
        <v>981.9</v>
      </c>
      <c r="F23" s="559">
        <f t="shared" si="1"/>
        <v>-4638.8900000000003</v>
      </c>
      <c r="G23" s="541">
        <v>8500</v>
      </c>
      <c r="H23" s="560"/>
      <c r="I23" s="643"/>
      <c r="J23" s="79"/>
    </row>
    <row r="24" spans="1:16" ht="12" x14ac:dyDescent="0.2">
      <c r="A24" s="824" t="s">
        <v>10</v>
      </c>
      <c r="B24" s="825"/>
      <c r="C24" s="551">
        <f>SUM(C25:C33)</f>
        <v>187261.94000000003</v>
      </c>
      <c r="D24" s="568">
        <f>SUM(D25:D33)</f>
        <v>0</v>
      </c>
      <c r="E24" s="569">
        <f>SUM(E25:E33)</f>
        <v>14055.109999999999</v>
      </c>
      <c r="F24" s="569">
        <f>SUM(F25:F33)-0.08</f>
        <v>173206.77000000005</v>
      </c>
      <c r="G24" s="570"/>
      <c r="H24" s="543"/>
      <c r="I24" s="273"/>
      <c r="P24" s="643"/>
    </row>
    <row r="25" spans="1:16" ht="12" hidden="1" x14ac:dyDescent="0.2">
      <c r="A25" s="554"/>
      <c r="B25" s="571" t="s">
        <v>55</v>
      </c>
      <c r="C25" s="556">
        <f>'February 2021'!G24</f>
        <v>0</v>
      </c>
      <c r="D25" s="572"/>
      <c r="E25" s="557"/>
      <c r="F25" s="573">
        <f>C25+D25-E25</f>
        <v>0</v>
      </c>
      <c r="G25" s="534"/>
      <c r="H25" s="543"/>
      <c r="I25" s="643"/>
      <c r="J25" s="319"/>
    </row>
    <row r="26" spans="1:16" ht="12" hidden="1" x14ac:dyDescent="0.2">
      <c r="A26" s="565"/>
      <c r="B26" s="549" t="s">
        <v>70</v>
      </c>
      <c r="C26" s="556">
        <f>'January 2022'!F25</f>
        <v>7.9999999998108251E-2</v>
      </c>
      <c r="D26" s="567"/>
      <c r="E26" s="567"/>
      <c r="F26" s="573">
        <f>C26+D26-E26</f>
        <v>7.9999999998108251E-2</v>
      </c>
      <c r="G26" s="541"/>
      <c r="H26" s="543"/>
      <c r="I26" s="643"/>
      <c r="J26" s="319"/>
    </row>
    <row r="27" spans="1:16" ht="12" hidden="1" x14ac:dyDescent="0.2">
      <c r="A27" s="531"/>
      <c r="B27" s="574" t="s">
        <v>105</v>
      </c>
      <c r="C27" s="556">
        <f>'April 2023'!F26</f>
        <v>-1.9999999992592166E-2</v>
      </c>
      <c r="D27" s="558"/>
      <c r="E27" s="575"/>
      <c r="F27" s="573">
        <f>C27+D27-E27+0.02</f>
        <v>7.4078347622741347E-12</v>
      </c>
      <c r="G27" s="541"/>
      <c r="H27" s="543"/>
      <c r="I27" s="643"/>
      <c r="J27" s="643"/>
    </row>
    <row r="28" spans="1:16" ht="12" hidden="1" x14ac:dyDescent="0.2">
      <c r="A28" s="531"/>
      <c r="B28" s="574" t="s">
        <v>39</v>
      </c>
      <c r="C28" s="556">
        <f>'April 2023'!F27</f>
        <v>8.1854523159563541E-12</v>
      </c>
      <c r="D28" s="567"/>
      <c r="E28" s="558"/>
      <c r="F28" s="573">
        <f t="shared" ref="F28:F32" si="2">C28+D28-E28</f>
        <v>8.1854523159563541E-12</v>
      </c>
      <c r="G28" s="541"/>
      <c r="H28" s="543"/>
      <c r="I28" s="643"/>
      <c r="J28" s="643"/>
    </row>
    <row r="29" spans="1:16" ht="12" x14ac:dyDescent="0.2">
      <c r="A29" s="531"/>
      <c r="B29" s="574" t="s">
        <v>115</v>
      </c>
      <c r="C29" s="556">
        <f>'June 2023'!F28</f>
        <v>18390.919999999998</v>
      </c>
      <c r="D29" s="567"/>
      <c r="E29" s="567">
        <v>264.58999999999997</v>
      </c>
      <c r="F29" s="573">
        <f t="shared" si="2"/>
        <v>18126.329999999998</v>
      </c>
      <c r="G29" s="541"/>
      <c r="H29" s="543"/>
      <c r="I29" s="643"/>
      <c r="J29" s="643"/>
    </row>
    <row r="30" spans="1:16" ht="12" hidden="1" x14ac:dyDescent="0.2">
      <c r="A30" s="531"/>
      <c r="B30" s="574" t="s">
        <v>86</v>
      </c>
      <c r="C30" s="556">
        <f>'June 2023'!F29</f>
        <v>-1.9326762412674725E-12</v>
      </c>
      <c r="D30" s="567"/>
      <c r="E30" s="567"/>
      <c r="F30" s="573">
        <f t="shared" si="2"/>
        <v>-1.9326762412674725E-12</v>
      </c>
      <c r="G30" s="541"/>
      <c r="H30" s="543"/>
      <c r="I30" s="643"/>
      <c r="J30" s="643"/>
    </row>
    <row r="31" spans="1:16" ht="12" x14ac:dyDescent="0.2">
      <c r="A31" s="531"/>
      <c r="B31" s="574" t="s">
        <v>101</v>
      </c>
      <c r="C31" s="556">
        <f>'June 2023'!F30</f>
        <v>62858.150000000023</v>
      </c>
      <c r="D31" s="567"/>
      <c r="E31" s="567">
        <v>12580.72</v>
      </c>
      <c r="F31" s="573">
        <f t="shared" si="2"/>
        <v>50277.430000000022</v>
      </c>
      <c r="G31" s="541"/>
      <c r="H31" s="543"/>
      <c r="I31" s="643"/>
      <c r="J31" s="643"/>
    </row>
    <row r="32" spans="1:16" ht="12" x14ac:dyDescent="0.2">
      <c r="A32" s="531"/>
      <c r="B32" s="574" t="s">
        <v>119</v>
      </c>
      <c r="C32" s="556">
        <f>'June 2023'!F31</f>
        <v>118184</v>
      </c>
      <c r="D32" s="567"/>
      <c r="E32" s="567"/>
      <c r="F32" s="573">
        <f t="shared" si="2"/>
        <v>118184</v>
      </c>
      <c r="G32" s="541"/>
      <c r="H32" s="543"/>
      <c r="I32" s="643"/>
      <c r="J32" s="643"/>
    </row>
    <row r="33" spans="1:16" ht="12" x14ac:dyDescent="0.2">
      <c r="A33" s="531"/>
      <c r="B33" s="549" t="s">
        <v>44</v>
      </c>
      <c r="C33" s="556">
        <f>'June 2023'!F32</f>
        <v>-12171.19</v>
      </c>
      <c r="D33" s="567"/>
      <c r="E33" s="558">
        <v>1209.8</v>
      </c>
      <c r="F33" s="573">
        <f>C33+D33-E33</f>
        <v>-13380.99</v>
      </c>
      <c r="G33" s="541"/>
      <c r="H33" s="543"/>
      <c r="I33" s="643"/>
      <c r="J33" s="643"/>
    </row>
    <row r="34" spans="1:16" ht="12" x14ac:dyDescent="0.2">
      <c r="A34" s="826" t="s">
        <v>35</v>
      </c>
      <c r="B34" s="827"/>
      <c r="C34" s="551">
        <f>SUM(C35:C41)</f>
        <v>98758.560000000012</v>
      </c>
      <c r="D34" s="568">
        <f>SUM(D35:D41)</f>
        <v>0</v>
      </c>
      <c r="E34" s="569">
        <f>SUM(E35:E41)</f>
        <v>1752.3200000000002</v>
      </c>
      <c r="F34" s="569">
        <f>SUM(F35:F41)</f>
        <v>97006.24</v>
      </c>
      <c r="G34" s="570">
        <f>SUM(G35:G38)</f>
        <v>35000</v>
      </c>
      <c r="H34" s="543"/>
      <c r="I34" s="273"/>
      <c r="P34" s="643"/>
    </row>
    <row r="35" spans="1:16" ht="12" x14ac:dyDescent="0.2">
      <c r="A35" s="565"/>
      <c r="B35" s="549" t="s">
        <v>125</v>
      </c>
      <c r="C35" s="556">
        <f>'June 2023'!F34</f>
        <v>31310.33</v>
      </c>
      <c r="D35" s="576"/>
      <c r="E35" s="577">
        <v>327.3</v>
      </c>
      <c r="F35" s="578">
        <f>C35+D35-E35</f>
        <v>30983.030000000002</v>
      </c>
      <c r="G35" s="541"/>
      <c r="H35" s="543"/>
      <c r="I35" s="643"/>
      <c r="J35" s="319"/>
    </row>
    <row r="36" spans="1:16" ht="12" x14ac:dyDescent="0.2">
      <c r="A36" s="565"/>
      <c r="B36" s="549" t="s">
        <v>90</v>
      </c>
      <c r="C36" s="556">
        <f>'June 2023'!F35</f>
        <v>20349.790000000012</v>
      </c>
      <c r="D36" s="576"/>
      <c r="E36" s="577">
        <v>166.7</v>
      </c>
      <c r="F36" s="578">
        <f t="shared" ref="F36:F37" si="3">C36+D36-E36</f>
        <v>20183.090000000011</v>
      </c>
      <c r="G36" s="541">
        <v>35000</v>
      </c>
      <c r="H36" s="543"/>
      <c r="I36" s="643"/>
      <c r="J36" s="319"/>
    </row>
    <row r="37" spans="1:16" ht="12" x14ac:dyDescent="0.2">
      <c r="A37" s="565"/>
      <c r="B37" s="549" t="s">
        <v>138</v>
      </c>
      <c r="C37" s="556">
        <f>'June 2023'!F36</f>
        <v>6049</v>
      </c>
      <c r="D37" s="576"/>
      <c r="E37" s="577"/>
      <c r="F37" s="578">
        <f t="shared" si="3"/>
        <v>6049</v>
      </c>
      <c r="G37" s="541"/>
      <c r="H37" s="543"/>
      <c r="I37" s="643"/>
      <c r="J37" s="319"/>
    </row>
    <row r="38" spans="1:16" ht="12" x14ac:dyDescent="0.2">
      <c r="A38" s="565"/>
      <c r="B38" s="579" t="s">
        <v>120</v>
      </c>
      <c r="C38" s="556">
        <f>'June 2023'!F37</f>
        <v>22618.61</v>
      </c>
      <c r="D38" s="576"/>
      <c r="E38" s="558">
        <v>219.24</v>
      </c>
      <c r="F38" s="578">
        <f>C38+D38-E38</f>
        <v>22399.37</v>
      </c>
      <c r="G38" s="541"/>
      <c r="H38" s="543"/>
      <c r="I38" s="293"/>
      <c r="J38" s="266"/>
      <c r="P38" s="326"/>
    </row>
    <row r="39" spans="1:16" ht="12" x14ac:dyDescent="0.2">
      <c r="A39" s="645"/>
      <c r="B39" s="645" t="s">
        <v>99</v>
      </c>
      <c r="C39" s="556">
        <f>'June 2023'!F38</f>
        <v>10550</v>
      </c>
      <c r="D39" s="580"/>
      <c r="E39" s="645"/>
      <c r="F39" s="578">
        <f>C39+D39-E39</f>
        <v>10550</v>
      </c>
      <c r="G39" s="645"/>
      <c r="H39" s="645"/>
    </row>
    <row r="40" spans="1:16" ht="12" x14ac:dyDescent="0.2">
      <c r="A40" s="645"/>
      <c r="B40" s="645" t="s">
        <v>131</v>
      </c>
      <c r="C40" s="556">
        <f>'June 2023'!F39</f>
        <v>11632.5</v>
      </c>
      <c r="D40" s="582"/>
      <c r="E40" s="645">
        <v>32.729999999999997</v>
      </c>
      <c r="F40" s="578">
        <f>C40+D40-E40</f>
        <v>11599.77</v>
      </c>
      <c r="G40" s="645"/>
      <c r="H40" s="645"/>
    </row>
    <row r="41" spans="1:16" ht="12.75" thickBot="1" x14ac:dyDescent="0.25">
      <c r="A41" s="645"/>
      <c r="B41" s="583" t="s">
        <v>111</v>
      </c>
      <c r="C41" s="556">
        <f>'June 2023'!F40</f>
        <v>-3751.67</v>
      </c>
      <c r="D41" s="584"/>
      <c r="E41" s="645">
        <v>1006.35</v>
      </c>
      <c r="F41" s="578">
        <f>C41+D41-E41</f>
        <v>-4758.0200000000004</v>
      </c>
      <c r="G41" s="645"/>
      <c r="H41" s="645"/>
    </row>
    <row r="42" spans="1:16" ht="12.75" thickBot="1" x14ac:dyDescent="0.25">
      <c r="A42" s="828" t="s">
        <v>11</v>
      </c>
      <c r="B42" s="812"/>
      <c r="C42" s="585">
        <f>C34+C24+C18+C6</f>
        <v>488277.63</v>
      </c>
      <c r="D42" s="627">
        <f>SUM(D24,D18,D6,D34)</f>
        <v>82642.12</v>
      </c>
      <c r="E42" s="587">
        <f>SUM(E24,E18,E6,E34)</f>
        <v>27939.57</v>
      </c>
      <c r="F42" s="588">
        <f>SUM(F24,F18,F6,F34)</f>
        <v>542980.12</v>
      </c>
      <c r="G42" s="589">
        <f>SUM(G6,G18,G24,G34)</f>
        <v>53500</v>
      </c>
      <c r="H42" s="646"/>
      <c r="I42" s="643"/>
      <c r="J42" s="331"/>
    </row>
    <row r="43" spans="1:16" ht="12" hidden="1" x14ac:dyDescent="0.2">
      <c r="A43" s="648"/>
      <c r="B43" s="644"/>
      <c r="C43" s="646">
        <f>SUM(C18:C23)</f>
        <v>-42377.159999999996</v>
      </c>
      <c r="D43" s="646"/>
      <c r="E43" s="646"/>
      <c r="F43" s="646"/>
      <c r="G43" s="593"/>
      <c r="H43" s="646"/>
      <c r="K43" s="642" t="s">
        <v>12</v>
      </c>
      <c r="L43" s="642">
        <v>42.43</v>
      </c>
    </row>
    <row r="44" spans="1:16" ht="12.75" hidden="1" thickBot="1" x14ac:dyDescent="0.25">
      <c r="A44" s="594" t="s">
        <v>25</v>
      </c>
      <c r="B44" s="595"/>
      <c r="C44" s="596" t="e">
        <f>SUM(C42,#REF!)</f>
        <v>#REF!</v>
      </c>
      <c r="D44" s="597" t="e">
        <f>SUM(D42,#REF!)</f>
        <v>#REF!</v>
      </c>
      <c r="E44" s="597" t="e">
        <f>SUM(E42,#REF!)</f>
        <v>#REF!</v>
      </c>
      <c r="F44" s="598" t="e">
        <f>SUM(F42,#REF!)</f>
        <v>#REF!</v>
      </c>
      <c r="G44" s="593"/>
      <c r="H44" s="646"/>
      <c r="I44" s="331"/>
      <c r="J44" s="79">
        <v>206730.35</v>
      </c>
    </row>
    <row r="45" spans="1:16" ht="12.75" thickBot="1" x14ac:dyDescent="0.25">
      <c r="A45" s="645"/>
      <c r="B45" s="599"/>
      <c r="C45" s="646"/>
      <c r="D45" s="646"/>
      <c r="E45" s="646"/>
      <c r="F45" s="646"/>
      <c r="G45" s="593"/>
      <c r="H45" s="600"/>
      <c r="I45" s="331"/>
      <c r="J45" s="79"/>
      <c r="P45" s="643"/>
    </row>
    <row r="46" spans="1:16" ht="12.75" thickBot="1" x14ac:dyDescent="0.25">
      <c r="A46" s="829" t="s">
        <v>13</v>
      </c>
      <c r="B46" s="830"/>
      <c r="C46" s="601" t="s">
        <v>2</v>
      </c>
      <c r="D46" s="601" t="s">
        <v>3</v>
      </c>
      <c r="E46" s="601" t="s">
        <v>27</v>
      </c>
      <c r="F46" s="601" t="s">
        <v>5</v>
      </c>
      <c r="G46" s="602"/>
      <c r="H46" s="603"/>
      <c r="I46" s="343"/>
    </row>
    <row r="47" spans="1:16" ht="12.75" thickBot="1" x14ac:dyDescent="0.25">
      <c r="A47" s="815" t="s">
        <v>14</v>
      </c>
      <c r="B47" s="816"/>
      <c r="C47" s="604">
        <f>'June 2023'!F46</f>
        <v>178.45</v>
      </c>
      <c r="D47" s="605"/>
      <c r="E47" s="605"/>
      <c r="F47" s="606">
        <f>C47+D47-E47</f>
        <v>178.45</v>
      </c>
      <c r="G47" s="646"/>
      <c r="H47" s="645"/>
      <c r="I47" s="331"/>
      <c r="J47" s="79"/>
    </row>
    <row r="48" spans="1:16" ht="12.75" thickBot="1" x14ac:dyDescent="0.25">
      <c r="A48" s="831" t="s">
        <v>15</v>
      </c>
      <c r="B48" s="832"/>
      <c r="C48" s="604">
        <f>'June 2023'!F47</f>
        <v>34480.640000000007</v>
      </c>
      <c r="D48" s="607">
        <v>25000</v>
      </c>
      <c r="E48" s="607">
        <v>31309.23</v>
      </c>
      <c r="F48" s="606">
        <f>C48+D48-E48</f>
        <v>28171.410000000007</v>
      </c>
      <c r="G48" s="646"/>
      <c r="H48" s="608"/>
      <c r="I48" s="331"/>
    </row>
    <row r="49" spans="1:16" ht="12.75" thickBot="1" x14ac:dyDescent="0.25">
      <c r="A49" s="609"/>
      <c r="B49" s="610" t="s">
        <v>21</v>
      </c>
      <c r="C49" s="604">
        <f>'June 2023'!F48</f>
        <v>0</v>
      </c>
      <c r="D49" s="611"/>
      <c r="E49" s="611"/>
      <c r="F49" s="606">
        <f t="shared" ref="F49:F51" si="4">C49+D49-E49</f>
        <v>0</v>
      </c>
      <c r="G49" s="646"/>
      <c r="H49" s="608"/>
      <c r="I49" s="79"/>
    </row>
    <row r="50" spans="1:16" ht="12.75" thickBot="1" x14ac:dyDescent="0.25">
      <c r="A50" s="609"/>
      <c r="B50" s="610" t="s">
        <v>40</v>
      </c>
      <c r="C50" s="604">
        <f>'June 2023'!F49</f>
        <v>-12939.030000000002</v>
      </c>
      <c r="D50" s="612">
        <v>12437.51</v>
      </c>
      <c r="E50" s="612">
        <v>8150.05</v>
      </c>
      <c r="F50" s="606">
        <f>C50+D50-E50</f>
        <v>-8651.5700000000033</v>
      </c>
      <c r="G50" s="646"/>
      <c r="H50" s="613"/>
      <c r="I50" s="79"/>
    </row>
    <row r="51" spans="1:16" ht="12.75" thickBot="1" x14ac:dyDescent="0.25">
      <c r="A51" s="815" t="s">
        <v>16</v>
      </c>
      <c r="B51" s="816"/>
      <c r="C51" s="604">
        <f>'June 2023'!F50</f>
        <v>244284.5400000001</v>
      </c>
      <c r="D51" s="614">
        <v>82502.509999999995</v>
      </c>
      <c r="E51" s="614">
        <v>25000</v>
      </c>
      <c r="F51" s="606">
        <f t="shared" si="4"/>
        <v>301787.0500000001</v>
      </c>
      <c r="G51" s="646"/>
      <c r="H51" s="613"/>
      <c r="I51" s="79"/>
    </row>
    <row r="52" spans="1:16" ht="12.75" thickBot="1" x14ac:dyDescent="0.25">
      <c r="A52" s="615" t="s">
        <v>46</v>
      </c>
      <c r="B52" s="616"/>
      <c r="C52" s="604">
        <f>'June 2023'!F51</f>
        <v>222273.17999999996</v>
      </c>
      <c r="D52" s="576">
        <v>262.18</v>
      </c>
      <c r="E52" s="576">
        <f>40.35+1000</f>
        <v>1040.3499999999999</v>
      </c>
      <c r="F52" s="606">
        <f>C52+D52-E52</f>
        <v>221495.00999999995</v>
      </c>
      <c r="G52" s="646"/>
      <c r="H52" s="613"/>
      <c r="I52" s="79"/>
    </row>
    <row r="53" spans="1:16" ht="12.75" thickBot="1" x14ac:dyDescent="0.25">
      <c r="A53" s="811"/>
      <c r="B53" s="812"/>
      <c r="C53" s="617">
        <f>SUM(C47+C48+C51+C52+C50+C49)</f>
        <v>488277.78</v>
      </c>
      <c r="D53" s="618">
        <f>SUM(D47:D52)</f>
        <v>120202.19999999998</v>
      </c>
      <c r="E53" s="618">
        <f>SUM(E47:E52)</f>
        <v>65499.63</v>
      </c>
      <c r="F53" s="606">
        <f>C53+D53-E53</f>
        <v>542980.35</v>
      </c>
      <c r="G53" s="646"/>
      <c r="H53" s="603"/>
      <c r="I53" s="79"/>
      <c r="J53" s="266"/>
    </row>
    <row r="54" spans="1:16" ht="12" x14ac:dyDescent="0.2">
      <c r="A54" s="648"/>
      <c r="B54" s="644"/>
      <c r="C54" s="646">
        <f>C42-C53</f>
        <v>-0.15000000002328306</v>
      </c>
      <c r="D54" s="646"/>
      <c r="E54" s="646"/>
      <c r="F54" s="646">
        <f>F42-F53</f>
        <v>-0.22999999998137355</v>
      </c>
      <c r="G54" s="645"/>
      <c r="H54" s="646"/>
      <c r="I54" s="331"/>
      <c r="J54" s="331"/>
      <c r="K54" s="266"/>
    </row>
    <row r="55" spans="1:16" ht="12" x14ac:dyDescent="0.2">
      <c r="A55" s="645"/>
      <c r="B55" s="599"/>
      <c r="C55" s="646"/>
      <c r="D55" s="646"/>
      <c r="E55" s="646"/>
      <c r="F55" s="646"/>
      <c r="G55" s="646"/>
      <c r="H55" s="646"/>
      <c r="I55" s="331"/>
    </row>
    <row r="56" spans="1:16" ht="12" x14ac:dyDescent="0.2">
      <c r="A56" s="813" t="s">
        <v>17</v>
      </c>
      <c r="B56" s="813"/>
      <c r="C56" s="813"/>
      <c r="D56" s="813"/>
      <c r="E56" s="814" t="s">
        <v>18</v>
      </c>
      <c r="F56" s="814"/>
      <c r="G56" s="646"/>
      <c r="H56" s="646"/>
      <c r="J56" s="331"/>
    </row>
    <row r="57" spans="1:16" ht="12" x14ac:dyDescent="0.2">
      <c r="A57" s="645"/>
      <c r="B57" s="645"/>
      <c r="C57" s="646"/>
      <c r="D57" s="646"/>
      <c r="E57" s="646"/>
      <c r="F57" s="646"/>
      <c r="G57" s="646"/>
      <c r="H57" s="646"/>
    </row>
    <row r="58" spans="1:16" ht="12" x14ac:dyDescent="0.2">
      <c r="A58" s="813" t="s">
        <v>19</v>
      </c>
      <c r="B58" s="813"/>
      <c r="C58" s="813"/>
      <c r="D58" s="813"/>
      <c r="E58" s="814" t="s">
        <v>18</v>
      </c>
      <c r="F58" s="814"/>
      <c r="G58" s="646"/>
      <c r="H58" s="646"/>
    </row>
    <row r="59" spans="1:16" ht="12" x14ac:dyDescent="0.2">
      <c r="A59" s="648"/>
      <c r="B59" s="644"/>
      <c r="C59" s="524"/>
      <c r="D59" s="524"/>
      <c r="E59" s="524"/>
      <c r="F59" s="613"/>
      <c r="G59" s="524"/>
      <c r="H59" s="524"/>
      <c r="I59" s="331"/>
      <c r="J59" s="79"/>
      <c r="P59" s="364"/>
    </row>
    <row r="60" spans="1:16" ht="12" x14ac:dyDescent="0.2">
      <c r="A60" s="645"/>
      <c r="B60" s="599"/>
      <c r="C60" s="603"/>
      <c r="D60" s="603"/>
      <c r="E60" s="603"/>
      <c r="H60" s="645"/>
      <c r="I60" s="331"/>
      <c r="J60" s="343"/>
      <c r="L60" s="266"/>
      <c r="P60" s="364"/>
    </row>
    <row r="61" spans="1:16" x14ac:dyDescent="0.2">
      <c r="B61" s="340"/>
      <c r="C61" s="79"/>
      <c r="D61" s="331"/>
      <c r="J61" s="331"/>
    </row>
  </sheetData>
  <mergeCells count="17">
    <mergeCell ref="A51:B51"/>
    <mergeCell ref="A2:G2"/>
    <mergeCell ref="A3:G3"/>
    <mergeCell ref="A5:B5"/>
    <mergeCell ref="A6:B6"/>
    <mergeCell ref="A18:B18"/>
    <mergeCell ref="A24:B24"/>
    <mergeCell ref="A34:B34"/>
    <mergeCell ref="A42:B42"/>
    <mergeCell ref="A46:B46"/>
    <mergeCell ref="A47:B47"/>
    <mergeCell ref="A48:B48"/>
    <mergeCell ref="A53:B53"/>
    <mergeCell ref="A56:D56"/>
    <mergeCell ref="E56:F56"/>
    <mergeCell ref="A58:D58"/>
    <mergeCell ref="E58:F58"/>
  </mergeCells>
  <pageMargins left="0.7" right="0.7" top="0.75" bottom="0.75" header="0.3" footer="0.3"/>
  <pageSetup scale="93" orientation="portrait" r:id="rId1"/>
  <legacy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A898A-DCED-4E25-9B4E-4FDAC92B21C3}">
  <sheetPr>
    <pageSetUpPr fitToPage="1"/>
  </sheetPr>
  <dimension ref="A1:R61"/>
  <sheetViews>
    <sheetView topLeftCell="A17" zoomScale="110" zoomScaleNormal="110" workbookViewId="0">
      <selection activeCell="E35" sqref="E35"/>
    </sheetView>
  </sheetViews>
  <sheetFormatPr defaultColWidth="9.140625" defaultRowHeight="11.25" x14ac:dyDescent="0.2"/>
  <cols>
    <col min="1" max="1" width="10.7109375" style="651" customWidth="1"/>
    <col min="2" max="2" width="26" style="651" customWidth="1"/>
    <col min="3" max="3" width="10" style="651" customWidth="1"/>
    <col min="4" max="4" width="8.85546875" style="651" customWidth="1"/>
    <col min="5" max="5" width="8.7109375" style="651" customWidth="1"/>
    <col min="6" max="6" width="10.28515625" style="651" customWidth="1"/>
    <col min="7" max="7" width="8.85546875" style="651" customWidth="1"/>
    <col min="8" max="8" width="13.85546875" style="651" customWidth="1"/>
    <col min="9" max="9" width="14.7109375" style="651" customWidth="1"/>
    <col min="10" max="10" width="14.5703125" style="651" customWidth="1"/>
    <col min="11" max="11" width="11.28515625" style="651" customWidth="1"/>
    <col min="12" max="15" width="9.140625" style="651"/>
    <col min="16" max="16" width="13" style="651" customWidth="1"/>
    <col min="17" max="16384" width="9.140625" style="651"/>
  </cols>
  <sheetData>
    <row r="1" spans="1:18" hidden="1" x14ac:dyDescent="0.2"/>
    <row r="2" spans="1:18" ht="12" x14ac:dyDescent="0.2">
      <c r="A2" s="817" t="s">
        <v>0</v>
      </c>
      <c r="B2" s="817"/>
      <c r="C2" s="817"/>
      <c r="D2" s="817"/>
      <c r="E2" s="817"/>
      <c r="F2" s="817"/>
      <c r="G2" s="817"/>
      <c r="H2" s="653"/>
    </row>
    <row r="3" spans="1:18" ht="12" x14ac:dyDescent="0.2">
      <c r="A3" s="818" t="s">
        <v>142</v>
      </c>
      <c r="B3" s="818"/>
      <c r="C3" s="818"/>
      <c r="D3" s="818"/>
      <c r="E3" s="818"/>
      <c r="F3" s="818"/>
      <c r="G3" s="818"/>
      <c r="H3" s="526" t="s">
        <v>133</v>
      </c>
      <c r="I3" s="656"/>
    </row>
    <row r="4" spans="1:18" ht="12.75" thickBot="1" x14ac:dyDescent="0.25">
      <c r="A4" s="656"/>
      <c r="B4" s="523" t="s">
        <v>37</v>
      </c>
      <c r="C4" s="656"/>
      <c r="D4" s="656"/>
      <c r="E4" s="656"/>
      <c r="F4" s="524"/>
      <c r="G4" s="656"/>
      <c r="H4" s="530" t="s">
        <v>134</v>
      </c>
    </row>
    <row r="5" spans="1:18" ht="15.75" customHeight="1" x14ac:dyDescent="0.2">
      <c r="A5" s="819" t="s">
        <v>1</v>
      </c>
      <c r="B5" s="820"/>
      <c r="C5" s="525" t="s">
        <v>2</v>
      </c>
      <c r="D5" s="525" t="s">
        <v>3</v>
      </c>
      <c r="E5" s="525" t="s">
        <v>58</v>
      </c>
      <c r="F5" s="525" t="s">
        <v>5</v>
      </c>
      <c r="G5" s="525" t="s">
        <v>6</v>
      </c>
      <c r="H5" s="538" t="s">
        <v>135</v>
      </c>
    </row>
    <row r="6" spans="1:18" ht="12" x14ac:dyDescent="0.2">
      <c r="A6" s="821" t="s">
        <v>132</v>
      </c>
      <c r="B6" s="822"/>
      <c r="C6" s="527">
        <f>SUM(C7:C17)</f>
        <v>304064.14999999997</v>
      </c>
      <c r="D6" s="528">
        <f>SUM(D7:D17)</f>
        <v>4068.87</v>
      </c>
      <c r="E6" s="528">
        <f>SUM(E7:E17)</f>
        <v>6562.56</v>
      </c>
      <c r="F6" s="528">
        <f>SUM(F7:F17)</f>
        <v>301570.45999999996</v>
      </c>
      <c r="G6" s="529">
        <f>SUM(G7:G15)</f>
        <v>0</v>
      </c>
      <c r="I6" s="273"/>
      <c r="J6" s="273"/>
      <c r="K6" s="652"/>
      <c r="P6" s="652"/>
      <c r="R6" s="652"/>
    </row>
    <row r="7" spans="1:18" ht="12" customHeight="1" x14ac:dyDescent="0.2">
      <c r="A7" s="531"/>
      <c r="B7" s="532" t="s">
        <v>23</v>
      </c>
      <c r="C7" s="533">
        <f>'July 2023'!F7</f>
        <v>222976.11</v>
      </c>
      <c r="D7" s="534">
        <f>1134+523.77+1500</f>
        <v>3157.77</v>
      </c>
      <c r="E7" s="535">
        <f>1000+2154.64+114.75+3322.9+55-5024.95</f>
        <v>1622.3400000000001</v>
      </c>
      <c r="F7" s="536">
        <f>C7+D7-E7</f>
        <v>224511.53999999998</v>
      </c>
      <c r="G7" s="537"/>
      <c r="I7" s="652"/>
    </row>
    <row r="8" spans="1:18" ht="12" x14ac:dyDescent="0.2">
      <c r="A8" s="539"/>
      <c r="B8" s="540" t="s">
        <v>62</v>
      </c>
      <c r="C8" s="533">
        <f>'July 2023'!F8</f>
        <v>-2799.409999999998</v>
      </c>
      <c r="D8" s="541"/>
      <c r="E8" s="541">
        <v>420.22</v>
      </c>
      <c r="F8" s="542">
        <f t="shared" ref="F8:F15" si="0">C8+D8-E8</f>
        <v>-3219.6299999999983</v>
      </c>
      <c r="G8" s="537"/>
      <c r="H8" s="543"/>
      <c r="I8" s="287"/>
    </row>
    <row r="9" spans="1:18" ht="12" hidden="1" x14ac:dyDescent="0.2">
      <c r="A9" s="539"/>
      <c r="B9" s="544" t="s">
        <v>67</v>
      </c>
      <c r="C9" s="533">
        <f>'July 2023'!F9</f>
        <v>0</v>
      </c>
      <c r="D9" s="541"/>
      <c r="E9" s="541"/>
      <c r="F9" s="536">
        <f t="shared" si="0"/>
        <v>0</v>
      </c>
      <c r="G9" s="537"/>
      <c r="H9" s="543"/>
      <c r="I9" s="289"/>
      <c r="J9" s="652"/>
    </row>
    <row r="10" spans="1:18" ht="12" hidden="1" x14ac:dyDescent="0.2">
      <c r="A10" s="539"/>
      <c r="B10" s="544" t="s">
        <v>41</v>
      </c>
      <c r="C10" s="533">
        <f>'July 2023'!F10</f>
        <v>-1.0000000002037268E-2</v>
      </c>
      <c r="D10" s="545"/>
      <c r="E10" s="545"/>
      <c r="F10" s="542">
        <f t="shared" si="0"/>
        <v>-1.0000000002037268E-2</v>
      </c>
      <c r="G10" s="537"/>
      <c r="H10" s="543"/>
      <c r="I10" s="291"/>
      <c r="J10" s="652"/>
    </row>
    <row r="11" spans="1:18" ht="12" x14ac:dyDescent="0.2">
      <c r="A11" s="539"/>
      <c r="B11" s="544" t="s">
        <v>117</v>
      </c>
      <c r="C11" s="533">
        <f>'July 2023'!F11</f>
        <v>326</v>
      </c>
      <c r="D11" s="546"/>
      <c r="E11" s="546"/>
      <c r="F11" s="536">
        <f t="shared" si="0"/>
        <v>326</v>
      </c>
      <c r="G11" s="537"/>
      <c r="H11" s="543"/>
      <c r="I11" s="293"/>
    </row>
    <row r="12" spans="1:18" ht="12" x14ac:dyDescent="0.2">
      <c r="A12" s="539"/>
      <c r="B12" s="544" t="s">
        <v>20</v>
      </c>
      <c r="C12" s="533">
        <f>'July 2023'!F12</f>
        <v>5734.1399999999994</v>
      </c>
      <c r="D12" s="547">
        <v>572.6</v>
      </c>
      <c r="E12" s="547">
        <v>4520</v>
      </c>
      <c r="F12" s="548">
        <f>C12+D12-E12</f>
        <v>1786.7399999999998</v>
      </c>
      <c r="G12" s="537"/>
      <c r="H12" s="543"/>
      <c r="I12" s="652"/>
    </row>
    <row r="13" spans="1:18" ht="12" x14ac:dyDescent="0.2">
      <c r="A13" s="539"/>
      <c r="B13" s="544" t="s">
        <v>22</v>
      </c>
      <c r="C13" s="533">
        <f>'July 2023'!F13</f>
        <v>-0.90000000000020464</v>
      </c>
      <c r="D13" s="547">
        <v>338.5</v>
      </c>
      <c r="E13" s="547"/>
      <c r="F13" s="548">
        <f>C13+D13-E13</f>
        <v>337.5999999999998</v>
      </c>
      <c r="G13" s="537"/>
      <c r="H13" s="543"/>
      <c r="I13" s="652"/>
    </row>
    <row r="14" spans="1:18" ht="12" x14ac:dyDescent="0.2">
      <c r="A14" s="539"/>
      <c r="B14" s="544" t="s">
        <v>28</v>
      </c>
      <c r="C14" s="533">
        <f>'July 2023'!F14</f>
        <v>-718.96000000000117</v>
      </c>
      <c r="D14" s="547"/>
      <c r="E14" s="547"/>
      <c r="F14" s="542">
        <f t="shared" si="0"/>
        <v>-718.96000000000117</v>
      </c>
      <c r="G14" s="537"/>
      <c r="H14" s="543"/>
      <c r="I14" s="652"/>
    </row>
    <row r="15" spans="1:18" ht="12" x14ac:dyDescent="0.2">
      <c r="A15" s="539"/>
      <c r="B15" s="549" t="s">
        <v>42</v>
      </c>
      <c r="C15" s="533">
        <f>'July 2023'!F15</f>
        <v>366.42000000000007</v>
      </c>
      <c r="D15" s="541"/>
      <c r="E15" s="541"/>
      <c r="F15" s="550">
        <f t="shared" si="0"/>
        <v>366.42000000000007</v>
      </c>
      <c r="G15" s="537"/>
      <c r="H15" s="543"/>
      <c r="I15" s="652"/>
    </row>
    <row r="16" spans="1:18" ht="12" x14ac:dyDescent="0.2">
      <c r="A16" s="539"/>
      <c r="B16" s="549" t="s">
        <v>43</v>
      </c>
      <c r="C16" s="533">
        <f>'July 2023'!F16</f>
        <v>-1064.6900000000005</v>
      </c>
      <c r="D16" s="541"/>
      <c r="E16" s="541"/>
      <c r="F16" s="548">
        <f>C16+D16-E16</f>
        <v>-1064.6900000000005</v>
      </c>
      <c r="G16" s="537"/>
      <c r="H16" s="543"/>
      <c r="I16" s="273"/>
      <c r="P16" s="652"/>
    </row>
    <row r="17" spans="1:16" ht="12" x14ac:dyDescent="0.2">
      <c r="A17" s="658"/>
      <c r="B17" s="659" t="s">
        <v>141</v>
      </c>
      <c r="C17" s="533">
        <f>'July 2023'!F17</f>
        <v>79245.45</v>
      </c>
      <c r="D17" s="541"/>
      <c r="E17" s="541"/>
      <c r="F17" s="548">
        <f>C17+D17-E17</f>
        <v>79245.45</v>
      </c>
      <c r="G17" s="537"/>
      <c r="H17" s="543"/>
      <c r="I17" s="273"/>
      <c r="P17" s="652"/>
    </row>
    <row r="18" spans="1:16" ht="12" x14ac:dyDescent="0.2">
      <c r="A18" s="823" t="s">
        <v>53</v>
      </c>
      <c r="B18" s="823"/>
      <c r="C18" s="551">
        <f>SUM(C19:C23)</f>
        <v>-31297.039999999997</v>
      </c>
      <c r="D18" s="552">
        <f>SUM(D19:D23)</f>
        <v>5000</v>
      </c>
      <c r="E18" s="552">
        <f>SUM(E19:E23)</f>
        <v>7238.15</v>
      </c>
      <c r="F18" s="542">
        <f>SUM(F19:F23)</f>
        <v>-33535.19</v>
      </c>
      <c r="G18" s="553">
        <f>SUM(G21+G23+G19)</f>
        <v>13500</v>
      </c>
      <c r="H18" s="543"/>
      <c r="I18" s="273"/>
      <c r="P18" s="652"/>
    </row>
    <row r="19" spans="1:16" ht="12" x14ac:dyDescent="0.2">
      <c r="A19" s="554"/>
      <c r="B19" s="555" t="s">
        <v>9</v>
      </c>
      <c r="C19" s="556">
        <f>'July 2023'!F19</f>
        <v>-5000.0000000000018</v>
      </c>
      <c r="D19" s="557">
        <v>5000</v>
      </c>
      <c r="E19" s="558"/>
      <c r="F19" s="559">
        <f>C19+D19-E19</f>
        <v>-1.8189894035458565E-12</v>
      </c>
      <c r="G19" s="541"/>
      <c r="H19" s="560"/>
      <c r="I19" s="652"/>
      <c r="J19" s="79"/>
    </row>
    <row r="20" spans="1:16" ht="12" x14ac:dyDescent="0.2">
      <c r="A20" s="539"/>
      <c r="B20" s="561" t="s">
        <v>8</v>
      </c>
      <c r="C20" s="556">
        <f>'July 2023'!F20</f>
        <v>-17438.82</v>
      </c>
      <c r="D20" s="547"/>
      <c r="E20" s="545">
        <f>4009.37+1215.88</f>
        <v>5225.25</v>
      </c>
      <c r="F20" s="559">
        <f>C20+D20-E20</f>
        <v>-22664.07</v>
      </c>
      <c r="G20" s="562"/>
      <c r="H20" s="560"/>
      <c r="I20" s="652"/>
    </row>
    <row r="21" spans="1:16" ht="12" x14ac:dyDescent="0.2">
      <c r="A21" s="539"/>
      <c r="B21" s="563" t="s">
        <v>32</v>
      </c>
      <c r="C21" s="556">
        <f>'July 2023'!F21</f>
        <v>-3433.82</v>
      </c>
      <c r="D21" s="547"/>
      <c r="E21" s="545">
        <v>556.41</v>
      </c>
      <c r="F21" s="559">
        <f t="shared" ref="F21:F23" si="1">C21+D21-E21</f>
        <v>-3990.23</v>
      </c>
      <c r="G21" s="564">
        <v>5000</v>
      </c>
      <c r="H21" s="560"/>
      <c r="I21" s="652"/>
    </row>
    <row r="22" spans="1:16" ht="12" x14ac:dyDescent="0.2">
      <c r="A22" s="539"/>
      <c r="B22" s="561" t="s">
        <v>67</v>
      </c>
      <c r="C22" s="556">
        <f>'July 2023'!F22</f>
        <v>-785.51</v>
      </c>
      <c r="D22" s="547"/>
      <c r="E22" s="547">
        <v>736.43</v>
      </c>
      <c r="F22" s="559">
        <f t="shared" si="1"/>
        <v>-1521.94</v>
      </c>
      <c r="G22" s="564"/>
      <c r="H22" s="560"/>
      <c r="I22" s="652"/>
    </row>
    <row r="23" spans="1:16" ht="12" x14ac:dyDescent="0.2">
      <c r="A23" s="565"/>
      <c r="B23" s="566" t="s">
        <v>38</v>
      </c>
      <c r="C23" s="556">
        <f>'July 2023'!F23</f>
        <v>-4638.8900000000003</v>
      </c>
      <c r="D23" s="567"/>
      <c r="E23" s="558">
        <v>720.06</v>
      </c>
      <c r="F23" s="559">
        <f t="shared" si="1"/>
        <v>-5358.9500000000007</v>
      </c>
      <c r="G23" s="541">
        <v>8500</v>
      </c>
      <c r="H23" s="560"/>
      <c r="I23" s="652"/>
      <c r="J23" s="79"/>
    </row>
    <row r="24" spans="1:16" ht="12" x14ac:dyDescent="0.2">
      <c r="A24" s="824" t="s">
        <v>10</v>
      </c>
      <c r="B24" s="825"/>
      <c r="C24" s="551">
        <f>SUM(C25:C33)</f>
        <v>173206.83000000005</v>
      </c>
      <c r="D24" s="568">
        <f>SUM(D25:D33)</f>
        <v>0</v>
      </c>
      <c r="E24" s="569">
        <f>SUM(E25:E33)</f>
        <v>13451.619999999999</v>
      </c>
      <c r="F24" s="569">
        <f>SUM(F25:F33)-0.08</f>
        <v>159755.15000000005</v>
      </c>
      <c r="G24" s="570"/>
      <c r="H24" s="543"/>
      <c r="I24" s="273"/>
      <c r="P24" s="652"/>
    </row>
    <row r="25" spans="1:16" ht="12" hidden="1" x14ac:dyDescent="0.2">
      <c r="A25" s="554"/>
      <c r="B25" s="571" t="s">
        <v>55</v>
      </c>
      <c r="C25" s="556">
        <f>'February 2021'!G24</f>
        <v>0</v>
      </c>
      <c r="D25" s="572"/>
      <c r="E25" s="557"/>
      <c r="F25" s="573">
        <f>C25+D25-E25</f>
        <v>0</v>
      </c>
      <c r="G25" s="534"/>
      <c r="H25" s="543"/>
      <c r="I25" s="652"/>
      <c r="J25" s="319"/>
    </row>
    <row r="26" spans="1:16" ht="12" hidden="1" x14ac:dyDescent="0.2">
      <c r="A26" s="565"/>
      <c r="B26" s="549" t="s">
        <v>70</v>
      </c>
      <c r="C26" s="556">
        <f>'January 2022'!F25</f>
        <v>7.9999999998108251E-2</v>
      </c>
      <c r="D26" s="567"/>
      <c r="E26" s="567"/>
      <c r="F26" s="573">
        <f>C26+D26-E26</f>
        <v>7.9999999998108251E-2</v>
      </c>
      <c r="G26" s="541"/>
      <c r="H26" s="543"/>
      <c r="I26" s="652"/>
      <c r="J26" s="319"/>
    </row>
    <row r="27" spans="1:16" ht="12" hidden="1" x14ac:dyDescent="0.2">
      <c r="A27" s="531"/>
      <c r="B27" s="574" t="s">
        <v>105</v>
      </c>
      <c r="C27" s="556">
        <f>'April 2023'!F26</f>
        <v>-1.9999999992592166E-2</v>
      </c>
      <c r="D27" s="558"/>
      <c r="E27" s="575"/>
      <c r="F27" s="573">
        <f>C27+D27-E27+0.02</f>
        <v>7.4078347622741347E-12</v>
      </c>
      <c r="G27" s="541"/>
      <c r="H27" s="543"/>
      <c r="I27" s="652"/>
      <c r="J27" s="652"/>
    </row>
    <row r="28" spans="1:16" ht="12" hidden="1" x14ac:dyDescent="0.2">
      <c r="A28" s="531"/>
      <c r="B28" s="574" t="s">
        <v>39</v>
      </c>
      <c r="C28" s="556">
        <f>'April 2023'!F27</f>
        <v>8.1854523159563541E-12</v>
      </c>
      <c r="D28" s="567"/>
      <c r="E28" s="558"/>
      <c r="F28" s="573">
        <f t="shared" ref="F28:F32" si="2">C28+D28-E28</f>
        <v>8.1854523159563541E-12</v>
      </c>
      <c r="G28" s="541"/>
      <c r="H28" s="543"/>
      <c r="I28" s="652"/>
      <c r="J28" s="652"/>
    </row>
    <row r="29" spans="1:16" ht="12" x14ac:dyDescent="0.2">
      <c r="A29" s="531"/>
      <c r="B29" s="574" t="s">
        <v>115</v>
      </c>
      <c r="C29" s="556">
        <f>'July 2023'!F29</f>
        <v>18126.329999999998</v>
      </c>
      <c r="D29" s="567"/>
      <c r="E29" s="567">
        <v>3911.24</v>
      </c>
      <c r="F29" s="573">
        <f t="shared" si="2"/>
        <v>14215.089999999998</v>
      </c>
      <c r="G29" s="541"/>
      <c r="H29" s="543"/>
      <c r="I29" s="652"/>
      <c r="J29" s="652"/>
    </row>
    <row r="30" spans="1:16" ht="12" hidden="1" x14ac:dyDescent="0.2">
      <c r="A30" s="531"/>
      <c r="B30" s="574" t="s">
        <v>86</v>
      </c>
      <c r="C30" s="556">
        <f>'July 2023'!F30</f>
        <v>-1.9326762412674725E-12</v>
      </c>
      <c r="D30" s="567"/>
      <c r="E30" s="567"/>
      <c r="F30" s="573">
        <f t="shared" si="2"/>
        <v>-1.9326762412674725E-12</v>
      </c>
      <c r="G30" s="541"/>
      <c r="H30" s="543"/>
      <c r="I30" s="652"/>
      <c r="J30" s="652"/>
    </row>
    <row r="31" spans="1:16" ht="12" x14ac:dyDescent="0.2">
      <c r="A31" s="531"/>
      <c r="B31" s="574" t="s">
        <v>101</v>
      </c>
      <c r="C31" s="556">
        <f>'July 2023'!F31</f>
        <v>50277.430000000022</v>
      </c>
      <c r="D31" s="567"/>
      <c r="E31" s="567">
        <v>9394.91</v>
      </c>
      <c r="F31" s="573">
        <f t="shared" si="2"/>
        <v>40882.520000000019</v>
      </c>
      <c r="G31" s="541"/>
      <c r="H31" s="543"/>
      <c r="I31" s="652"/>
      <c r="J31" s="652"/>
    </row>
    <row r="32" spans="1:16" ht="12" x14ac:dyDescent="0.2">
      <c r="A32" s="531"/>
      <c r="B32" s="574" t="s">
        <v>119</v>
      </c>
      <c r="C32" s="556">
        <f>'July 2023'!F32</f>
        <v>118184</v>
      </c>
      <c r="D32" s="567"/>
      <c r="E32" s="567"/>
      <c r="F32" s="573">
        <f t="shared" si="2"/>
        <v>118184</v>
      </c>
      <c r="G32" s="541"/>
      <c r="H32" s="543"/>
      <c r="I32" s="652"/>
      <c r="J32" s="652"/>
    </row>
    <row r="33" spans="1:16" ht="12" x14ac:dyDescent="0.2">
      <c r="A33" s="531"/>
      <c r="B33" s="549" t="s">
        <v>44</v>
      </c>
      <c r="C33" s="556">
        <f>'July 2023'!F33</f>
        <v>-13380.99</v>
      </c>
      <c r="D33" s="567"/>
      <c r="E33" s="558">
        <v>145.47</v>
      </c>
      <c r="F33" s="573">
        <f>C33+D33-E33</f>
        <v>-13526.46</v>
      </c>
      <c r="G33" s="541"/>
      <c r="H33" s="543"/>
      <c r="I33" s="652"/>
      <c r="J33" s="652"/>
    </row>
    <row r="34" spans="1:16" ht="12" x14ac:dyDescent="0.2">
      <c r="A34" s="826" t="s">
        <v>35</v>
      </c>
      <c r="B34" s="827"/>
      <c r="C34" s="551">
        <f>SUM(C35:C41)</f>
        <v>97006.24</v>
      </c>
      <c r="D34" s="568">
        <f>SUM(D35:D41)</f>
        <v>5090.54</v>
      </c>
      <c r="E34" s="569">
        <f>SUM(E35:E41)</f>
        <v>7017.3000000000011</v>
      </c>
      <c r="F34" s="569">
        <f>SUM(F35:F41)</f>
        <v>95079.480000000025</v>
      </c>
      <c r="G34" s="570">
        <f>SUM(G35:G38)</f>
        <v>35000</v>
      </c>
      <c r="H34" s="543"/>
      <c r="I34" s="273"/>
      <c r="P34" s="652"/>
    </row>
    <row r="35" spans="1:16" ht="12" x14ac:dyDescent="0.2">
      <c r="A35" s="565"/>
      <c r="B35" s="549" t="s">
        <v>125</v>
      </c>
      <c r="C35" s="556">
        <f>'July 2023'!F35</f>
        <v>30983.030000000002</v>
      </c>
      <c r="D35" s="576"/>
      <c r="E35" s="577">
        <f>720.06+4781.2</f>
        <v>5501.26</v>
      </c>
      <c r="F35" s="578">
        <f>C35+D35-E35</f>
        <v>25481.770000000004</v>
      </c>
      <c r="G35" s="541"/>
      <c r="H35" s="543"/>
      <c r="I35" s="652"/>
      <c r="J35" s="319"/>
    </row>
    <row r="36" spans="1:16" ht="12" x14ac:dyDescent="0.2">
      <c r="A36" s="565"/>
      <c r="B36" s="549" t="s">
        <v>90</v>
      </c>
      <c r="C36" s="556">
        <f>'July 2023'!F36</f>
        <v>20183.090000000011</v>
      </c>
      <c r="D36" s="576"/>
      <c r="E36" s="577">
        <v>540.04999999999995</v>
      </c>
      <c r="F36" s="578">
        <f t="shared" ref="F36:F37" si="3">C36+D36-E36</f>
        <v>19643.040000000012</v>
      </c>
      <c r="G36" s="541">
        <v>35000</v>
      </c>
      <c r="H36" s="543"/>
      <c r="I36" s="652"/>
      <c r="J36" s="319"/>
    </row>
    <row r="37" spans="1:16" ht="12" x14ac:dyDescent="0.2">
      <c r="A37" s="565"/>
      <c r="B37" s="549" t="s">
        <v>138</v>
      </c>
      <c r="C37" s="556">
        <f>'July 2023'!F37</f>
        <v>6049</v>
      </c>
      <c r="D37" s="576"/>
      <c r="E37" s="577"/>
      <c r="F37" s="578">
        <f t="shared" si="3"/>
        <v>6049</v>
      </c>
      <c r="G37" s="541"/>
      <c r="H37" s="543"/>
      <c r="I37" s="652"/>
      <c r="J37" s="319"/>
    </row>
    <row r="38" spans="1:16" ht="12" x14ac:dyDescent="0.2">
      <c r="A38" s="565"/>
      <c r="B38" s="579" t="s">
        <v>143</v>
      </c>
      <c r="C38" s="556">
        <f>'July 2023'!F38</f>
        <v>22399.37</v>
      </c>
      <c r="D38" s="576"/>
      <c r="E38" s="558">
        <v>109.62</v>
      </c>
      <c r="F38" s="578">
        <f>C38+D38-E38</f>
        <v>22289.75</v>
      </c>
      <c r="G38" s="541"/>
      <c r="H38" s="543"/>
      <c r="I38" s="293"/>
      <c r="J38" s="266"/>
      <c r="P38" s="326"/>
    </row>
    <row r="39" spans="1:16" ht="12" x14ac:dyDescent="0.2">
      <c r="A39" s="656"/>
      <c r="B39" s="656" t="s">
        <v>99</v>
      </c>
      <c r="C39" s="556">
        <f>'July 2023'!F39</f>
        <v>10550</v>
      </c>
      <c r="D39" s="580"/>
      <c r="E39" s="656"/>
      <c r="F39" s="578">
        <f>C39+D39-E39</f>
        <v>10550</v>
      </c>
      <c r="G39" s="656"/>
      <c r="H39" s="656"/>
    </row>
    <row r="40" spans="1:16" ht="12" x14ac:dyDescent="0.2">
      <c r="A40" s="656"/>
      <c r="B40" s="656" t="s">
        <v>131</v>
      </c>
      <c r="C40" s="556">
        <f>'July 2023'!F40</f>
        <v>11599.77</v>
      </c>
      <c r="D40" s="582"/>
      <c r="E40" s="656">
        <v>114.56</v>
      </c>
      <c r="F40" s="578">
        <f>C40+D40-E40</f>
        <v>11485.210000000001</v>
      </c>
      <c r="G40" s="656"/>
      <c r="H40" s="656"/>
    </row>
    <row r="41" spans="1:16" ht="12.75" thickBot="1" x14ac:dyDescent="0.25">
      <c r="A41" s="656"/>
      <c r="B41" s="583" t="s">
        <v>111</v>
      </c>
      <c r="C41" s="556">
        <f>'July 2023'!F41</f>
        <v>-4758.0200000000004</v>
      </c>
      <c r="D41" s="584">
        <v>5090.54</v>
      </c>
      <c r="E41" s="656">
        <f>380.45+371.36</f>
        <v>751.81</v>
      </c>
      <c r="F41" s="578">
        <f>C41+D41-E41</f>
        <v>-419.29000000000042</v>
      </c>
      <c r="G41" s="656"/>
      <c r="H41" s="656"/>
    </row>
    <row r="42" spans="1:16" ht="12.75" thickBot="1" x14ac:dyDescent="0.25">
      <c r="A42" s="828" t="s">
        <v>11</v>
      </c>
      <c r="B42" s="812"/>
      <c r="C42" s="585">
        <f>C34+C24+C18+C6</f>
        <v>542980.18000000005</v>
      </c>
      <c r="D42" s="627">
        <f>SUM(D24,D18,D6,D34)</f>
        <v>14159.41</v>
      </c>
      <c r="E42" s="587">
        <f>SUM(E24,E18,E6,E34)</f>
        <v>34269.629999999997</v>
      </c>
      <c r="F42" s="588">
        <f>SUM(F24,F18,F6,F34)</f>
        <v>522869.90000000008</v>
      </c>
      <c r="G42" s="589">
        <f>SUM(G6,G18,G24,G34)</f>
        <v>48500</v>
      </c>
      <c r="H42" s="657"/>
      <c r="I42" s="652"/>
      <c r="J42" s="331"/>
    </row>
    <row r="43" spans="1:16" ht="12" hidden="1" x14ac:dyDescent="0.2">
      <c r="A43" s="654"/>
      <c r="B43" s="655"/>
      <c r="C43" s="657">
        <f>SUM(C18:C23)</f>
        <v>-62594.080000000002</v>
      </c>
      <c r="D43" s="657"/>
      <c r="E43" s="657"/>
      <c r="F43" s="657"/>
      <c r="G43" s="593"/>
      <c r="H43" s="657"/>
      <c r="K43" s="651" t="s">
        <v>12</v>
      </c>
      <c r="L43" s="651">
        <v>42.43</v>
      </c>
    </row>
    <row r="44" spans="1:16" ht="12.75" hidden="1" thickBot="1" x14ac:dyDescent="0.25">
      <c r="A44" s="594" t="s">
        <v>25</v>
      </c>
      <c r="B44" s="595"/>
      <c r="C44" s="596" t="e">
        <f>SUM(C42,#REF!)</f>
        <v>#REF!</v>
      </c>
      <c r="D44" s="597" t="e">
        <f>SUM(D42,#REF!)</f>
        <v>#REF!</v>
      </c>
      <c r="E44" s="597" t="e">
        <f>SUM(E42,#REF!)</f>
        <v>#REF!</v>
      </c>
      <c r="F44" s="598" t="e">
        <f>SUM(F42,#REF!)</f>
        <v>#REF!</v>
      </c>
      <c r="G44" s="593"/>
      <c r="H44" s="657"/>
      <c r="I44" s="331"/>
      <c r="J44" s="79">
        <v>206730.35</v>
      </c>
    </row>
    <row r="45" spans="1:16" ht="12.75" thickBot="1" x14ac:dyDescent="0.25">
      <c r="A45" s="656"/>
      <c r="B45" s="599"/>
      <c r="C45" s="657"/>
      <c r="D45" s="657"/>
      <c r="E45" s="657"/>
      <c r="F45" s="657"/>
      <c r="G45" s="593"/>
      <c r="H45" s="600"/>
      <c r="I45" s="331"/>
      <c r="J45" s="79"/>
      <c r="P45" s="652"/>
    </row>
    <row r="46" spans="1:16" ht="12.75" thickBot="1" x14ac:dyDescent="0.25">
      <c r="A46" s="829" t="s">
        <v>13</v>
      </c>
      <c r="B46" s="830"/>
      <c r="C46" s="601" t="s">
        <v>2</v>
      </c>
      <c r="D46" s="601" t="s">
        <v>3</v>
      </c>
      <c r="E46" s="601" t="s">
        <v>27</v>
      </c>
      <c r="F46" s="601" t="s">
        <v>5</v>
      </c>
      <c r="G46" s="602"/>
      <c r="H46" s="603"/>
      <c r="I46" s="343"/>
    </row>
    <row r="47" spans="1:16" ht="12.75" thickBot="1" x14ac:dyDescent="0.25">
      <c r="A47" s="815" t="s">
        <v>14</v>
      </c>
      <c r="B47" s="816"/>
      <c r="C47" s="604">
        <f>'July 2023'!F47</f>
        <v>178.45</v>
      </c>
      <c r="D47" s="605"/>
      <c r="E47" s="605"/>
      <c r="F47" s="606">
        <f>C47+D47-E47</f>
        <v>178.45</v>
      </c>
      <c r="G47" s="657"/>
      <c r="H47" s="656"/>
      <c r="I47" s="331"/>
      <c r="J47" s="79"/>
    </row>
    <row r="48" spans="1:16" ht="12.75" thickBot="1" x14ac:dyDescent="0.25">
      <c r="A48" s="831" t="s">
        <v>15</v>
      </c>
      <c r="B48" s="832"/>
      <c r="C48" s="604">
        <f>'July 2023'!F48</f>
        <v>28171.410000000007</v>
      </c>
      <c r="D48" s="607">
        <v>22000</v>
      </c>
      <c r="E48" s="607">
        <v>26889.64</v>
      </c>
      <c r="F48" s="606">
        <f>C48+D48-E48</f>
        <v>23281.770000000004</v>
      </c>
      <c r="G48" s="657"/>
      <c r="H48" s="608"/>
      <c r="I48" s="331"/>
    </row>
    <row r="49" spans="1:16" ht="12.75" thickBot="1" x14ac:dyDescent="0.25">
      <c r="A49" s="609"/>
      <c r="B49" s="610" t="s">
        <v>21</v>
      </c>
      <c r="C49" s="604">
        <f>'July 2023'!F49</f>
        <v>0</v>
      </c>
      <c r="D49" s="611"/>
      <c r="E49" s="611"/>
      <c r="F49" s="606">
        <f t="shared" ref="F49:F51" si="4">C49+D49-E49</f>
        <v>0</v>
      </c>
      <c r="G49" s="657"/>
      <c r="H49" s="608"/>
      <c r="I49" s="79"/>
    </row>
    <row r="50" spans="1:16" ht="12.75" thickBot="1" x14ac:dyDescent="0.25">
      <c r="A50" s="609"/>
      <c r="B50" s="610" t="s">
        <v>40</v>
      </c>
      <c r="C50" s="604">
        <f>'July 2023'!F50</f>
        <v>-8651.5700000000033</v>
      </c>
      <c r="D50" s="612">
        <v>8150.05</v>
      </c>
      <c r="E50" s="612">
        <v>14183.02</v>
      </c>
      <c r="F50" s="606">
        <f>C50+D50-E50</f>
        <v>-14684.540000000005</v>
      </c>
      <c r="G50" s="657"/>
      <c r="H50" s="613"/>
      <c r="I50" s="79"/>
    </row>
    <row r="51" spans="1:16" ht="12.75" thickBot="1" x14ac:dyDescent="0.25">
      <c r="A51" s="815" t="s">
        <v>16</v>
      </c>
      <c r="B51" s="816"/>
      <c r="C51" s="604">
        <f>'July 2023'!F51</f>
        <v>301787.0500000001</v>
      </c>
      <c r="D51" s="614">
        <v>13587.1</v>
      </c>
      <c r="E51" s="614">
        <v>22000</v>
      </c>
      <c r="F51" s="606">
        <f t="shared" si="4"/>
        <v>293374.15000000008</v>
      </c>
      <c r="G51" s="657"/>
      <c r="H51" s="613"/>
      <c r="I51" s="79"/>
    </row>
    <row r="52" spans="1:16" ht="12.75" thickBot="1" x14ac:dyDescent="0.25">
      <c r="A52" s="615" t="s">
        <v>46</v>
      </c>
      <c r="B52" s="616"/>
      <c r="C52" s="604">
        <f>'July 2023'!F52</f>
        <v>221495.00999999995</v>
      </c>
      <c r="D52" s="576">
        <v>273.20999999999998</v>
      </c>
      <c r="E52" s="576">
        <f>1000+47.92</f>
        <v>1047.92</v>
      </c>
      <c r="F52" s="606">
        <f>C52+D52-E52</f>
        <v>220720.29999999993</v>
      </c>
      <c r="G52" s="657"/>
      <c r="H52" s="613"/>
      <c r="I52" s="79"/>
    </row>
    <row r="53" spans="1:16" ht="12.75" thickBot="1" x14ac:dyDescent="0.25">
      <c r="A53" s="811"/>
      <c r="B53" s="812"/>
      <c r="C53" s="617">
        <f>SUM(C47+C48+C51+C52+C50+C49)</f>
        <v>542980.35000000009</v>
      </c>
      <c r="D53" s="618">
        <f>SUM(D47:D52)</f>
        <v>44010.36</v>
      </c>
      <c r="E53" s="618">
        <f>SUM(E47:E52)</f>
        <v>64120.58</v>
      </c>
      <c r="F53" s="606">
        <f>C53+D53-E53+0.04</f>
        <v>522870.17000000004</v>
      </c>
      <c r="G53" s="657"/>
      <c r="H53" s="603"/>
      <c r="I53" s="79"/>
      <c r="J53" s="266"/>
    </row>
    <row r="54" spans="1:16" ht="12" x14ac:dyDescent="0.2">
      <c r="A54" s="654"/>
      <c r="B54" s="655"/>
      <c r="C54" s="657">
        <f>C42-C53</f>
        <v>-0.17000000004190952</v>
      </c>
      <c r="D54" s="657"/>
      <c r="E54" s="657"/>
      <c r="F54" s="657">
        <f>F42-F53</f>
        <v>-0.26999999996041879</v>
      </c>
      <c r="G54" s="656"/>
      <c r="H54" s="657"/>
      <c r="I54" s="331"/>
      <c r="J54" s="331"/>
      <c r="K54" s="266"/>
    </row>
    <row r="55" spans="1:16" ht="12" x14ac:dyDescent="0.2">
      <c r="A55" s="656"/>
      <c r="B55" s="599"/>
      <c r="C55" s="657"/>
      <c r="D55" s="657"/>
      <c r="E55" s="657"/>
      <c r="F55" s="657"/>
      <c r="G55" s="657"/>
      <c r="H55" s="657"/>
      <c r="I55" s="331"/>
    </row>
    <row r="56" spans="1:16" ht="12" x14ac:dyDescent="0.2">
      <c r="A56" s="813" t="s">
        <v>17</v>
      </c>
      <c r="B56" s="813"/>
      <c r="C56" s="813"/>
      <c r="D56" s="813"/>
      <c r="E56" s="814" t="s">
        <v>18</v>
      </c>
      <c r="F56" s="814"/>
      <c r="G56" s="657"/>
      <c r="H56" s="657"/>
      <c r="J56" s="331"/>
    </row>
    <row r="57" spans="1:16" ht="12" x14ac:dyDescent="0.2">
      <c r="A57" s="656"/>
      <c r="B57" s="656"/>
      <c r="C57" s="657"/>
      <c r="D57" s="657"/>
      <c r="E57" s="657"/>
      <c r="F57" s="657"/>
      <c r="G57" s="657"/>
      <c r="H57" s="657"/>
    </row>
    <row r="58" spans="1:16" ht="12" x14ac:dyDescent="0.2">
      <c r="A58" s="813" t="s">
        <v>19</v>
      </c>
      <c r="B58" s="813"/>
      <c r="C58" s="813"/>
      <c r="D58" s="813"/>
      <c r="E58" s="814" t="s">
        <v>18</v>
      </c>
      <c r="F58" s="814"/>
      <c r="G58" s="657"/>
      <c r="H58" s="657"/>
    </row>
    <row r="59" spans="1:16" ht="12" x14ac:dyDescent="0.2">
      <c r="A59" s="654"/>
      <c r="B59" s="655"/>
      <c r="C59" s="524"/>
      <c r="D59" s="524"/>
      <c r="E59" s="524"/>
      <c r="F59" s="613"/>
      <c r="G59" s="524"/>
      <c r="H59" s="524"/>
      <c r="I59" s="331"/>
      <c r="J59" s="79"/>
      <c r="P59" s="364"/>
    </row>
    <row r="60" spans="1:16" ht="12" x14ac:dyDescent="0.2">
      <c r="A60" s="656"/>
      <c r="B60" s="599"/>
      <c r="C60" s="603"/>
      <c r="D60" s="603"/>
      <c r="E60" s="603"/>
      <c r="H60" s="656"/>
      <c r="I60" s="331"/>
      <c r="J60" s="343"/>
      <c r="L60" s="266"/>
      <c r="P60" s="364"/>
    </row>
    <row r="61" spans="1:16" x14ac:dyDescent="0.2">
      <c r="B61" s="340"/>
      <c r="C61" s="79"/>
      <c r="D61" s="331"/>
      <c r="J61" s="331"/>
    </row>
  </sheetData>
  <mergeCells count="17">
    <mergeCell ref="A53:B53"/>
    <mergeCell ref="A56:D56"/>
    <mergeCell ref="E56:F56"/>
    <mergeCell ref="A58:D58"/>
    <mergeCell ref="E58:F58"/>
    <mergeCell ref="A51:B51"/>
    <mergeCell ref="A2:G2"/>
    <mergeCell ref="A3:G3"/>
    <mergeCell ref="A5:B5"/>
    <mergeCell ref="A6:B6"/>
    <mergeCell ref="A18:B18"/>
    <mergeCell ref="A24:B24"/>
    <mergeCell ref="A34:B34"/>
    <mergeCell ref="A42:B42"/>
    <mergeCell ref="A46:B46"/>
    <mergeCell ref="A47:B47"/>
    <mergeCell ref="A48:B48"/>
  </mergeCells>
  <pageMargins left="0.7" right="0.7" top="0.75" bottom="0.75" header="0.3" footer="0.3"/>
  <pageSetup scale="93" orientation="portrait" r:id="rId1"/>
  <legacy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4AC39-21DA-484A-8477-CC054D99FE46}">
  <sheetPr>
    <pageSetUpPr fitToPage="1"/>
  </sheetPr>
  <dimension ref="A1:R61"/>
  <sheetViews>
    <sheetView topLeftCell="A11" zoomScale="110" zoomScaleNormal="110" workbookViewId="0">
      <selection activeCell="I40" sqref="I40"/>
    </sheetView>
  </sheetViews>
  <sheetFormatPr defaultColWidth="9.140625" defaultRowHeight="11.25" x14ac:dyDescent="0.2"/>
  <cols>
    <col min="1" max="1" width="10.7109375" style="660" customWidth="1"/>
    <col min="2" max="2" width="26" style="660" customWidth="1"/>
    <col min="3" max="3" width="10" style="660" customWidth="1"/>
    <col min="4" max="4" width="8.85546875" style="660" customWidth="1"/>
    <col min="5" max="5" width="8.7109375" style="660" customWidth="1"/>
    <col min="6" max="6" width="10.28515625" style="660" customWidth="1"/>
    <col min="7" max="7" width="8.85546875" style="660" customWidth="1"/>
    <col min="8" max="8" width="13.85546875" style="660" customWidth="1"/>
    <col min="9" max="9" width="14.7109375" style="660" customWidth="1"/>
    <col min="10" max="10" width="14.5703125" style="660" customWidth="1"/>
    <col min="11" max="11" width="11.28515625" style="660" customWidth="1"/>
    <col min="12" max="15" width="9.140625" style="660"/>
    <col min="16" max="16" width="13" style="660" customWidth="1"/>
    <col min="17" max="16384" width="9.140625" style="660"/>
  </cols>
  <sheetData>
    <row r="1" spans="1:18" hidden="1" x14ac:dyDescent="0.2"/>
    <row r="2" spans="1:18" ht="12" x14ac:dyDescent="0.2">
      <c r="A2" s="817" t="s">
        <v>0</v>
      </c>
      <c r="B2" s="817"/>
      <c r="C2" s="817"/>
      <c r="D2" s="817"/>
      <c r="E2" s="817"/>
      <c r="F2" s="817"/>
      <c r="G2" s="817"/>
      <c r="H2" s="665"/>
    </row>
    <row r="3" spans="1:18" ht="12" x14ac:dyDescent="0.2">
      <c r="A3" s="818" t="s">
        <v>144</v>
      </c>
      <c r="B3" s="818"/>
      <c r="C3" s="818"/>
      <c r="D3" s="818"/>
      <c r="E3" s="818"/>
      <c r="F3" s="818"/>
      <c r="G3" s="818"/>
      <c r="H3" s="526" t="s">
        <v>133</v>
      </c>
      <c r="I3" s="663"/>
    </row>
    <row r="4" spans="1:18" ht="12.75" thickBot="1" x14ac:dyDescent="0.25">
      <c r="A4" s="663"/>
      <c r="B4" s="523" t="s">
        <v>37</v>
      </c>
      <c r="C4" s="663"/>
      <c r="D4" s="663"/>
      <c r="E4" s="663"/>
      <c r="F4" s="524"/>
      <c r="G4" s="663"/>
      <c r="H4" s="530" t="s">
        <v>134</v>
      </c>
    </row>
    <row r="5" spans="1:18" ht="15.75" customHeight="1" x14ac:dyDescent="0.2">
      <c r="A5" s="819" t="s">
        <v>1</v>
      </c>
      <c r="B5" s="820"/>
      <c r="C5" s="525" t="s">
        <v>2</v>
      </c>
      <c r="D5" s="525" t="s">
        <v>3</v>
      </c>
      <c r="E5" s="525" t="s">
        <v>58</v>
      </c>
      <c r="F5" s="525" t="s">
        <v>5</v>
      </c>
      <c r="G5" s="525" t="s">
        <v>6</v>
      </c>
      <c r="H5" s="538" t="s">
        <v>135</v>
      </c>
    </row>
    <row r="6" spans="1:18" ht="12" x14ac:dyDescent="0.2">
      <c r="A6" s="821" t="s">
        <v>132</v>
      </c>
      <c r="B6" s="822"/>
      <c r="C6" s="527">
        <f>SUM(C7:C17)</f>
        <v>301570.45999999996</v>
      </c>
      <c r="D6" s="528">
        <f>SUM(D7:D17)</f>
        <v>3345.31</v>
      </c>
      <c r="E6" s="528">
        <f>SUM(E7:E17)</f>
        <v>8645.5200000000023</v>
      </c>
      <c r="F6" s="528">
        <f>SUM(F7:F17)</f>
        <v>296270.25</v>
      </c>
      <c r="G6" s="529">
        <f>SUM(G7:G15)</f>
        <v>0</v>
      </c>
      <c r="I6" s="273"/>
      <c r="J6" s="273"/>
      <c r="K6" s="661"/>
      <c r="P6" s="661"/>
      <c r="R6" s="661"/>
    </row>
    <row r="7" spans="1:18" ht="12" customHeight="1" x14ac:dyDescent="0.2">
      <c r="A7" s="531"/>
      <c r="B7" s="532" t="s">
        <v>23</v>
      </c>
      <c r="C7" s="533">
        <f>'August 2023'!F7</f>
        <v>224511.53999999998</v>
      </c>
      <c r="D7" s="534">
        <f>2361.37+479.92</f>
        <v>2841.29</v>
      </c>
      <c r="E7" s="535">
        <f>1000+1.22+856.73+85.91+452.5+69+5000-245.24</f>
        <v>7220.1200000000008</v>
      </c>
      <c r="F7" s="536">
        <f>C7+D7-E7</f>
        <v>220132.71</v>
      </c>
      <c r="G7" s="537"/>
      <c r="I7" s="661"/>
    </row>
    <row r="8" spans="1:18" ht="12" x14ac:dyDescent="0.2">
      <c r="A8" s="539"/>
      <c r="B8" s="540" t="s">
        <v>62</v>
      </c>
      <c r="C8" s="533">
        <f>'August 2023'!F8</f>
        <v>-3219.6299999999983</v>
      </c>
      <c r="D8" s="541"/>
      <c r="E8" s="541">
        <v>1383.21</v>
      </c>
      <c r="F8" s="542">
        <f t="shared" ref="F8:F15" si="0">C8+D8-E8</f>
        <v>-4602.8399999999983</v>
      </c>
      <c r="G8" s="537"/>
      <c r="H8" s="543"/>
      <c r="I8" s="287"/>
    </row>
    <row r="9" spans="1:18" ht="12" hidden="1" x14ac:dyDescent="0.2">
      <c r="A9" s="539"/>
      <c r="B9" s="544" t="s">
        <v>67</v>
      </c>
      <c r="C9" s="533">
        <f>'August 2023'!F9</f>
        <v>0</v>
      </c>
      <c r="D9" s="541"/>
      <c r="E9" s="541"/>
      <c r="F9" s="536">
        <f t="shared" si="0"/>
        <v>0</v>
      </c>
      <c r="G9" s="537"/>
      <c r="H9" s="543"/>
      <c r="I9" s="289"/>
      <c r="J9" s="661"/>
    </row>
    <row r="10" spans="1:18" ht="12" hidden="1" x14ac:dyDescent="0.2">
      <c r="A10" s="539"/>
      <c r="B10" s="544" t="s">
        <v>41</v>
      </c>
      <c r="C10" s="533">
        <f>'August 2023'!F10</f>
        <v>-1.0000000002037268E-2</v>
      </c>
      <c r="D10" s="545"/>
      <c r="E10" s="545"/>
      <c r="F10" s="542">
        <f t="shared" si="0"/>
        <v>-1.0000000002037268E-2</v>
      </c>
      <c r="G10" s="537"/>
      <c r="H10" s="543"/>
      <c r="I10" s="291"/>
      <c r="J10" s="661"/>
    </row>
    <row r="11" spans="1:18" ht="12" x14ac:dyDescent="0.2">
      <c r="A11" s="539"/>
      <c r="B11" s="544" t="s">
        <v>117</v>
      </c>
      <c r="C11" s="533">
        <f>'August 2023'!F11</f>
        <v>326</v>
      </c>
      <c r="D11" s="546"/>
      <c r="E11" s="546"/>
      <c r="F11" s="536">
        <f t="shared" si="0"/>
        <v>326</v>
      </c>
      <c r="G11" s="537"/>
      <c r="H11" s="543"/>
      <c r="I11" s="293"/>
    </row>
    <row r="12" spans="1:18" ht="12" x14ac:dyDescent="0.2">
      <c r="A12" s="539"/>
      <c r="B12" s="544" t="s">
        <v>20</v>
      </c>
      <c r="C12" s="533">
        <f>'August 2023'!F12</f>
        <v>1786.7399999999998</v>
      </c>
      <c r="D12" s="547">
        <v>471.58</v>
      </c>
      <c r="E12" s="547"/>
      <c r="F12" s="548">
        <f>C12+D12-E12</f>
        <v>2258.3199999999997</v>
      </c>
      <c r="G12" s="537"/>
      <c r="H12" s="543"/>
      <c r="I12" s="661"/>
    </row>
    <row r="13" spans="1:18" ht="12" x14ac:dyDescent="0.2">
      <c r="A13" s="539"/>
      <c r="B13" s="544" t="s">
        <v>22</v>
      </c>
      <c r="C13" s="533">
        <f>'August 2023'!F13</f>
        <v>337.5999999999998</v>
      </c>
      <c r="D13" s="547">
        <v>32.44</v>
      </c>
      <c r="E13" s="547"/>
      <c r="F13" s="548">
        <f>C13+D13-E13</f>
        <v>370.03999999999979</v>
      </c>
      <c r="G13" s="537"/>
      <c r="H13" s="543"/>
      <c r="I13" s="661"/>
    </row>
    <row r="14" spans="1:18" ht="12" x14ac:dyDescent="0.2">
      <c r="A14" s="539"/>
      <c r="B14" s="544" t="s">
        <v>28</v>
      </c>
      <c r="C14" s="533">
        <f>'August 2023'!F14</f>
        <v>-718.96000000000117</v>
      </c>
      <c r="D14" s="547"/>
      <c r="E14" s="547">
        <v>16.37</v>
      </c>
      <c r="F14" s="542">
        <f t="shared" si="0"/>
        <v>-735.33000000000118</v>
      </c>
      <c r="G14" s="537"/>
      <c r="H14" s="543"/>
      <c r="I14" s="661"/>
    </row>
    <row r="15" spans="1:18" ht="12" x14ac:dyDescent="0.2">
      <c r="A15" s="539"/>
      <c r="B15" s="549" t="s">
        <v>42</v>
      </c>
      <c r="C15" s="533">
        <f>'August 2023'!F15</f>
        <v>366.42000000000007</v>
      </c>
      <c r="D15" s="541"/>
      <c r="E15" s="541"/>
      <c r="F15" s="550">
        <f t="shared" si="0"/>
        <v>366.42000000000007</v>
      </c>
      <c r="G15" s="537"/>
      <c r="H15" s="543"/>
      <c r="I15" s="661"/>
    </row>
    <row r="16" spans="1:18" ht="12" x14ac:dyDescent="0.2">
      <c r="A16" s="539"/>
      <c r="B16" s="549" t="s">
        <v>43</v>
      </c>
      <c r="C16" s="533">
        <f>'August 2023'!F16</f>
        <v>-1064.6900000000005</v>
      </c>
      <c r="D16" s="541"/>
      <c r="E16" s="541">
        <v>25.82</v>
      </c>
      <c r="F16" s="548">
        <f>C16+D16-E16</f>
        <v>-1090.5100000000004</v>
      </c>
      <c r="G16" s="537"/>
      <c r="H16" s="543"/>
      <c r="I16" s="273"/>
      <c r="P16" s="661"/>
    </row>
    <row r="17" spans="1:16" ht="12" x14ac:dyDescent="0.2">
      <c r="A17" s="658"/>
      <c r="B17" s="659" t="s">
        <v>141</v>
      </c>
      <c r="C17" s="533">
        <f>'August 2023'!F17</f>
        <v>79245.45</v>
      </c>
      <c r="D17" s="541"/>
      <c r="E17" s="541"/>
      <c r="F17" s="548">
        <f>C17+D17-E17</f>
        <v>79245.45</v>
      </c>
      <c r="G17" s="537"/>
      <c r="H17" s="543"/>
      <c r="I17" s="273"/>
      <c r="P17" s="661"/>
    </row>
    <row r="18" spans="1:16" ht="12" x14ac:dyDescent="0.2">
      <c r="A18" s="823" t="s">
        <v>53</v>
      </c>
      <c r="B18" s="823"/>
      <c r="C18" s="551">
        <f>SUM(C19:C23)</f>
        <v>-33535.19</v>
      </c>
      <c r="D18" s="552">
        <f>SUM(D19:D23)</f>
        <v>1751.06</v>
      </c>
      <c r="E18" s="552">
        <f>SUM(E19:E23)</f>
        <v>2619.7599999999998</v>
      </c>
      <c r="F18" s="542">
        <f>SUM(F19:F23)</f>
        <v>-34403.89</v>
      </c>
      <c r="G18" s="553">
        <f>SUM(G21+G23+G19)</f>
        <v>13500</v>
      </c>
      <c r="H18" s="543"/>
      <c r="I18" s="273"/>
      <c r="P18" s="661"/>
    </row>
    <row r="19" spans="1:16" ht="12" x14ac:dyDescent="0.2">
      <c r="A19" s="554"/>
      <c r="B19" s="555" t="s">
        <v>9</v>
      </c>
      <c r="C19" s="556">
        <f>'August 2023'!F19</f>
        <v>-1.8189894035458565E-12</v>
      </c>
      <c r="D19" s="557"/>
      <c r="E19" s="558"/>
      <c r="F19" s="559">
        <f>C19+D19-E19</f>
        <v>-1.8189894035458565E-12</v>
      </c>
      <c r="G19" s="541"/>
      <c r="H19" s="560"/>
      <c r="I19" s="661"/>
      <c r="J19" s="79"/>
    </row>
    <row r="20" spans="1:16" ht="12" x14ac:dyDescent="0.2">
      <c r="A20" s="539"/>
      <c r="B20" s="561" t="s">
        <v>8</v>
      </c>
      <c r="C20" s="556">
        <f>'August 2023'!F20</f>
        <v>-22664.07</v>
      </c>
      <c r="D20" s="547"/>
      <c r="E20" s="545">
        <f>1293.82+262.21</f>
        <v>1556.03</v>
      </c>
      <c r="F20" s="559">
        <f>C20+D20-E20</f>
        <v>-24220.1</v>
      </c>
      <c r="G20" s="562"/>
      <c r="H20" s="560"/>
      <c r="I20" s="661"/>
    </row>
    <row r="21" spans="1:16" ht="12" x14ac:dyDescent="0.2">
      <c r="A21" s="539"/>
      <c r="B21" s="563" t="s">
        <v>32</v>
      </c>
      <c r="C21" s="556">
        <f>'August 2023'!F21</f>
        <v>-3990.23</v>
      </c>
      <c r="D21" s="547"/>
      <c r="E21" s="545">
        <v>425.49</v>
      </c>
      <c r="F21" s="559">
        <f t="shared" ref="F21:F23" si="1">C21+D21-E21</f>
        <v>-4415.72</v>
      </c>
      <c r="G21" s="564">
        <v>5000</v>
      </c>
      <c r="H21" s="560"/>
      <c r="I21" s="661"/>
    </row>
    <row r="22" spans="1:16" ht="12" x14ac:dyDescent="0.2">
      <c r="A22" s="539"/>
      <c r="B22" s="561" t="s">
        <v>67</v>
      </c>
      <c r="C22" s="556">
        <f>'August 2023'!F22</f>
        <v>-1521.94</v>
      </c>
      <c r="D22" s="547">
        <v>1751.06</v>
      </c>
      <c r="E22" s="547">
        <v>81.83</v>
      </c>
      <c r="F22" s="559">
        <f t="shared" si="1"/>
        <v>147.28999999999991</v>
      </c>
      <c r="G22" s="564"/>
      <c r="H22" s="560"/>
      <c r="I22" s="661"/>
    </row>
    <row r="23" spans="1:16" ht="12" x14ac:dyDescent="0.2">
      <c r="A23" s="565"/>
      <c r="B23" s="566" t="s">
        <v>38</v>
      </c>
      <c r="C23" s="556">
        <f>'August 2023'!F23</f>
        <v>-5358.9500000000007</v>
      </c>
      <c r="D23" s="567"/>
      <c r="E23" s="558">
        <v>556.41</v>
      </c>
      <c r="F23" s="559">
        <f t="shared" si="1"/>
        <v>-5915.3600000000006</v>
      </c>
      <c r="G23" s="541">
        <v>8500</v>
      </c>
      <c r="H23" s="560"/>
      <c r="I23" s="661"/>
      <c r="J23" s="79"/>
    </row>
    <row r="24" spans="1:16" ht="12" x14ac:dyDescent="0.2">
      <c r="A24" s="824" t="s">
        <v>10</v>
      </c>
      <c r="B24" s="825"/>
      <c r="C24" s="551">
        <f>SUM(C25:C33)</f>
        <v>159755.21000000005</v>
      </c>
      <c r="D24" s="568">
        <f>SUM(D25:D33)</f>
        <v>0</v>
      </c>
      <c r="E24" s="569">
        <f>SUM(E25:E33)</f>
        <v>14473.99</v>
      </c>
      <c r="F24" s="569">
        <f>SUM(F25:F33)-0.08</f>
        <v>145281.16000000003</v>
      </c>
      <c r="G24" s="570"/>
      <c r="H24" s="543"/>
      <c r="I24" s="273"/>
      <c r="P24" s="661"/>
    </row>
    <row r="25" spans="1:16" ht="12" hidden="1" x14ac:dyDescent="0.2">
      <c r="A25" s="554"/>
      <c r="B25" s="571" t="s">
        <v>55</v>
      </c>
      <c r="C25" s="556">
        <f>'February 2021'!G24</f>
        <v>0</v>
      </c>
      <c r="D25" s="572"/>
      <c r="E25" s="557"/>
      <c r="F25" s="573">
        <f>C25+D25-E25</f>
        <v>0</v>
      </c>
      <c r="G25" s="534"/>
      <c r="H25" s="543"/>
      <c r="I25" s="661"/>
      <c r="J25" s="319"/>
    </row>
    <row r="26" spans="1:16" ht="12" hidden="1" x14ac:dyDescent="0.2">
      <c r="A26" s="565"/>
      <c r="B26" s="549" t="s">
        <v>70</v>
      </c>
      <c r="C26" s="556">
        <f>'January 2022'!F25</f>
        <v>7.9999999998108251E-2</v>
      </c>
      <c r="D26" s="567"/>
      <c r="E26" s="567"/>
      <c r="F26" s="573">
        <f>C26+D26-E26</f>
        <v>7.9999999998108251E-2</v>
      </c>
      <c r="G26" s="541"/>
      <c r="H26" s="543"/>
      <c r="I26" s="661"/>
      <c r="J26" s="319"/>
    </row>
    <row r="27" spans="1:16" ht="12" hidden="1" x14ac:dyDescent="0.2">
      <c r="A27" s="531"/>
      <c r="B27" s="574" t="s">
        <v>105</v>
      </c>
      <c r="C27" s="556">
        <f>'April 2023'!F26</f>
        <v>-1.9999999992592166E-2</v>
      </c>
      <c r="D27" s="558"/>
      <c r="E27" s="575"/>
      <c r="F27" s="573">
        <f>C27+D27-E27+0.02</f>
        <v>7.4078347622741347E-12</v>
      </c>
      <c r="G27" s="541"/>
      <c r="H27" s="543"/>
      <c r="I27" s="661"/>
      <c r="J27" s="661"/>
    </row>
    <row r="28" spans="1:16" ht="12" hidden="1" x14ac:dyDescent="0.2">
      <c r="A28" s="531"/>
      <c r="B28" s="574" t="s">
        <v>39</v>
      </c>
      <c r="C28" s="556">
        <f>'April 2023'!F27</f>
        <v>8.1854523159563541E-12</v>
      </c>
      <c r="D28" s="567"/>
      <c r="E28" s="558"/>
      <c r="F28" s="573">
        <f t="shared" ref="F28:F32" si="2">C28+D28-E28</f>
        <v>8.1854523159563541E-12</v>
      </c>
      <c r="G28" s="541"/>
      <c r="H28" s="543"/>
      <c r="I28" s="661"/>
      <c r="J28" s="661"/>
    </row>
    <row r="29" spans="1:16" ht="12" x14ac:dyDescent="0.2">
      <c r="A29" s="531"/>
      <c r="B29" s="574" t="s">
        <v>115</v>
      </c>
      <c r="C29" s="556">
        <f>'August 2023'!F29</f>
        <v>14215.089999999998</v>
      </c>
      <c r="D29" s="567"/>
      <c r="E29" s="567">
        <v>3240.27</v>
      </c>
      <c r="F29" s="573">
        <f t="shared" si="2"/>
        <v>10974.819999999998</v>
      </c>
      <c r="G29" s="541"/>
      <c r="H29" s="543"/>
      <c r="I29" s="661"/>
      <c r="J29" s="661"/>
    </row>
    <row r="30" spans="1:16" ht="12" hidden="1" x14ac:dyDescent="0.2">
      <c r="A30" s="531"/>
      <c r="B30" s="574" t="s">
        <v>86</v>
      </c>
      <c r="C30" s="556">
        <f>'August 2023'!F30</f>
        <v>-1.9326762412674725E-12</v>
      </c>
      <c r="D30" s="567"/>
      <c r="E30" s="567"/>
      <c r="F30" s="573">
        <f t="shared" si="2"/>
        <v>-1.9326762412674725E-12</v>
      </c>
      <c r="G30" s="541"/>
      <c r="H30" s="543"/>
      <c r="I30" s="661"/>
      <c r="J30" s="661"/>
    </row>
    <row r="31" spans="1:16" ht="12" x14ac:dyDescent="0.2">
      <c r="A31" s="531"/>
      <c r="B31" s="574" t="s">
        <v>101</v>
      </c>
      <c r="C31" s="556">
        <f>'August 2023'!F31</f>
        <v>40882.520000000019</v>
      </c>
      <c r="D31" s="567"/>
      <c r="E31" s="567">
        <v>10859.33</v>
      </c>
      <c r="F31" s="573">
        <f t="shared" si="2"/>
        <v>30023.190000000017</v>
      </c>
      <c r="G31" s="541"/>
      <c r="H31" s="543"/>
      <c r="I31" s="661"/>
      <c r="J31" s="661"/>
    </row>
    <row r="32" spans="1:16" ht="12" x14ac:dyDescent="0.2">
      <c r="A32" s="531"/>
      <c r="B32" s="574" t="s">
        <v>119</v>
      </c>
      <c r="C32" s="556">
        <f>'August 2023'!F32</f>
        <v>118184</v>
      </c>
      <c r="D32" s="567"/>
      <c r="E32" s="567"/>
      <c r="F32" s="573">
        <f t="shared" si="2"/>
        <v>118184</v>
      </c>
      <c r="G32" s="541"/>
      <c r="H32" s="543"/>
      <c r="I32" s="661"/>
      <c r="J32" s="661"/>
    </row>
    <row r="33" spans="1:16" ht="12" x14ac:dyDescent="0.2">
      <c r="A33" s="531"/>
      <c r="B33" s="549" t="s">
        <v>44</v>
      </c>
      <c r="C33" s="556">
        <f>'August 2023'!F33</f>
        <v>-13526.46</v>
      </c>
      <c r="D33" s="567"/>
      <c r="E33" s="558">
        <v>374.39</v>
      </c>
      <c r="F33" s="573">
        <f>C33+D33-E33</f>
        <v>-13900.849999999999</v>
      </c>
      <c r="G33" s="541"/>
      <c r="H33" s="543"/>
      <c r="I33" s="661"/>
      <c r="J33" s="661"/>
    </row>
    <row r="34" spans="1:16" ht="12" x14ac:dyDescent="0.2">
      <c r="A34" s="826" t="s">
        <v>35</v>
      </c>
      <c r="B34" s="827"/>
      <c r="C34" s="551">
        <f>SUM(C35:C41)</f>
        <v>95079.480000000025</v>
      </c>
      <c r="D34" s="568">
        <f>SUM(D35:D41)</f>
        <v>0</v>
      </c>
      <c r="E34" s="569">
        <f>SUM(E35:E41)</f>
        <v>1141.42</v>
      </c>
      <c r="F34" s="569">
        <f>SUM(F35:F41)</f>
        <v>93938.060000000027</v>
      </c>
      <c r="G34" s="570">
        <f>SUM(G35:G38)</f>
        <v>35000</v>
      </c>
      <c r="H34" s="543"/>
      <c r="I34" s="273"/>
      <c r="P34" s="661"/>
    </row>
    <row r="35" spans="1:16" ht="12" x14ac:dyDescent="0.2">
      <c r="A35" s="565"/>
      <c r="B35" s="549" t="s">
        <v>125</v>
      </c>
      <c r="C35" s="556">
        <f>'August 2023'!F35</f>
        <v>25481.770000000004</v>
      </c>
      <c r="D35" s="576"/>
      <c r="E35" s="577">
        <v>572.78</v>
      </c>
      <c r="F35" s="578">
        <f>C35+D35-E35</f>
        <v>24908.990000000005</v>
      </c>
      <c r="G35" s="541"/>
      <c r="H35" s="543"/>
      <c r="I35" s="661"/>
      <c r="J35" s="319"/>
    </row>
    <row r="36" spans="1:16" ht="12" x14ac:dyDescent="0.2">
      <c r="A36" s="565"/>
      <c r="B36" s="549" t="s">
        <v>90</v>
      </c>
      <c r="C36" s="556">
        <f>'August 2023'!F36</f>
        <v>19643.040000000012</v>
      </c>
      <c r="D36" s="576"/>
      <c r="E36" s="577">
        <v>32.729999999999997</v>
      </c>
      <c r="F36" s="578">
        <f t="shared" ref="F36:F37" si="3">C36+D36-E36</f>
        <v>19610.310000000012</v>
      </c>
      <c r="G36" s="541">
        <v>35000</v>
      </c>
      <c r="H36" s="543"/>
      <c r="I36" s="661"/>
      <c r="J36" s="319"/>
    </row>
    <row r="37" spans="1:16" ht="12" x14ac:dyDescent="0.2">
      <c r="A37" s="565"/>
      <c r="B37" s="549" t="s">
        <v>138</v>
      </c>
      <c r="C37" s="556">
        <f>'August 2023'!F37</f>
        <v>6049</v>
      </c>
      <c r="D37" s="576"/>
      <c r="E37" s="577"/>
      <c r="F37" s="578">
        <f t="shared" si="3"/>
        <v>6049</v>
      </c>
      <c r="G37" s="541"/>
      <c r="H37" s="543"/>
      <c r="I37" s="661"/>
      <c r="J37" s="319"/>
    </row>
    <row r="38" spans="1:16" ht="12" x14ac:dyDescent="0.2">
      <c r="A38" s="565"/>
      <c r="B38" s="579" t="s">
        <v>143</v>
      </c>
      <c r="C38" s="556">
        <f>'August 2023'!F38</f>
        <v>22289.75</v>
      </c>
      <c r="D38" s="576"/>
      <c r="E38" s="558"/>
      <c r="F38" s="578">
        <f>C38+D38-E38</f>
        <v>22289.75</v>
      </c>
      <c r="G38" s="541"/>
      <c r="H38" s="543"/>
      <c r="I38" s="293"/>
      <c r="J38" s="266"/>
      <c r="P38" s="326"/>
    </row>
    <row r="39" spans="1:16" ht="12" x14ac:dyDescent="0.2">
      <c r="A39" s="663"/>
      <c r="B39" s="663" t="s">
        <v>99</v>
      </c>
      <c r="C39" s="556">
        <f>'August 2023'!F39</f>
        <v>10550</v>
      </c>
      <c r="D39" s="580"/>
      <c r="E39" s="663"/>
      <c r="F39" s="578">
        <f>C39+D39-E39</f>
        <v>10550</v>
      </c>
      <c r="G39" s="663"/>
      <c r="H39" s="663"/>
    </row>
    <row r="40" spans="1:16" ht="12" x14ac:dyDescent="0.2">
      <c r="A40" s="663"/>
      <c r="B40" s="663" t="s">
        <v>131</v>
      </c>
      <c r="C40" s="556">
        <f>'August 2023'!F40</f>
        <v>11485.210000000001</v>
      </c>
      <c r="D40" s="582"/>
      <c r="E40" s="663">
        <v>130.91999999999999</v>
      </c>
      <c r="F40" s="578">
        <f>C40+D40-E40</f>
        <v>11354.29</v>
      </c>
      <c r="G40" s="663"/>
      <c r="H40" s="663"/>
    </row>
    <row r="41" spans="1:16" ht="12.75" thickBot="1" x14ac:dyDescent="0.25">
      <c r="A41" s="663"/>
      <c r="B41" s="583" t="s">
        <v>111</v>
      </c>
      <c r="C41" s="556">
        <f>'August 2023'!F41</f>
        <v>-419.29000000000042</v>
      </c>
      <c r="D41" s="584"/>
      <c r="E41" s="663">
        <v>404.99</v>
      </c>
      <c r="F41" s="578">
        <f>C41+D41-E41</f>
        <v>-824.28000000000043</v>
      </c>
      <c r="G41" s="663"/>
      <c r="H41" s="663"/>
    </row>
    <row r="42" spans="1:16" ht="12.75" thickBot="1" x14ac:dyDescent="0.25">
      <c r="A42" s="828" t="s">
        <v>11</v>
      </c>
      <c r="B42" s="812"/>
      <c r="C42" s="585">
        <f>C34+C24+C18+C6</f>
        <v>522869.96</v>
      </c>
      <c r="D42" s="627">
        <f>SUM(D24,D18,D6,D34)</f>
        <v>5096.37</v>
      </c>
      <c r="E42" s="587">
        <f>SUM(E24,E18,E6,E34)</f>
        <v>26880.690000000002</v>
      </c>
      <c r="F42" s="588">
        <f>SUM(F24,F18,F6,F34)</f>
        <v>501085.58000000007</v>
      </c>
      <c r="G42" s="589">
        <f>SUM(G6,G18,G24,G34)</f>
        <v>48500</v>
      </c>
      <c r="H42" s="664"/>
      <c r="I42" s="661"/>
      <c r="J42" s="331"/>
    </row>
    <row r="43" spans="1:16" ht="12" hidden="1" x14ac:dyDescent="0.2">
      <c r="A43" s="666"/>
      <c r="B43" s="662"/>
      <c r="C43" s="664">
        <f>SUM(C18:C23)</f>
        <v>-67070.38</v>
      </c>
      <c r="D43" s="664"/>
      <c r="E43" s="664"/>
      <c r="F43" s="664"/>
      <c r="G43" s="593"/>
      <c r="H43" s="664"/>
      <c r="K43" s="660" t="s">
        <v>12</v>
      </c>
      <c r="L43" s="660">
        <v>42.43</v>
      </c>
    </row>
    <row r="44" spans="1:16" ht="12.75" hidden="1" thickBot="1" x14ac:dyDescent="0.25">
      <c r="A44" s="594" t="s">
        <v>25</v>
      </c>
      <c r="B44" s="595"/>
      <c r="C44" s="596" t="e">
        <f>SUM(C42,#REF!)</f>
        <v>#REF!</v>
      </c>
      <c r="D44" s="597" t="e">
        <f>SUM(D42,#REF!)</f>
        <v>#REF!</v>
      </c>
      <c r="E44" s="597" t="e">
        <f>SUM(E42,#REF!)</f>
        <v>#REF!</v>
      </c>
      <c r="F44" s="598" t="e">
        <f>SUM(F42,#REF!)</f>
        <v>#REF!</v>
      </c>
      <c r="G44" s="593"/>
      <c r="H44" s="664"/>
      <c r="I44" s="331"/>
      <c r="J44" s="79">
        <v>206730.35</v>
      </c>
    </row>
    <row r="45" spans="1:16" ht="12.75" thickBot="1" x14ac:dyDescent="0.25">
      <c r="A45" s="663"/>
      <c r="B45" s="599"/>
      <c r="C45" s="664"/>
      <c r="D45" s="664"/>
      <c r="E45" s="664"/>
      <c r="F45" s="664"/>
      <c r="G45" s="593"/>
      <c r="H45" s="600"/>
      <c r="I45" s="331"/>
      <c r="J45" s="79"/>
      <c r="P45" s="661"/>
    </row>
    <row r="46" spans="1:16" ht="12.75" thickBot="1" x14ac:dyDescent="0.25">
      <c r="A46" s="829" t="s">
        <v>13</v>
      </c>
      <c r="B46" s="830"/>
      <c r="C46" s="601" t="s">
        <v>2</v>
      </c>
      <c r="D46" s="601" t="s">
        <v>3</v>
      </c>
      <c r="E46" s="601" t="s">
        <v>27</v>
      </c>
      <c r="F46" s="601" t="s">
        <v>5</v>
      </c>
      <c r="G46" s="602"/>
      <c r="H46" s="603"/>
      <c r="I46" s="343"/>
    </row>
    <row r="47" spans="1:16" ht="12.75" thickBot="1" x14ac:dyDescent="0.25">
      <c r="A47" s="815" t="s">
        <v>14</v>
      </c>
      <c r="B47" s="816"/>
      <c r="C47" s="604">
        <f>'August 2023'!F47</f>
        <v>178.45</v>
      </c>
      <c r="D47" s="605"/>
      <c r="E47" s="605">
        <f>1.22+78.83</f>
        <v>80.05</v>
      </c>
      <c r="F47" s="606">
        <f>C47+D47-E47</f>
        <v>98.399999999999991</v>
      </c>
      <c r="G47" s="664"/>
      <c r="H47" s="663"/>
      <c r="I47" s="331"/>
      <c r="J47" s="79"/>
    </row>
    <row r="48" spans="1:16" ht="12.75" thickBot="1" x14ac:dyDescent="0.25">
      <c r="A48" s="831" t="s">
        <v>15</v>
      </c>
      <c r="B48" s="832"/>
      <c r="C48" s="604">
        <f>'August 2023'!F48</f>
        <v>23281.770000000004</v>
      </c>
      <c r="D48" s="607">
        <v>44000</v>
      </c>
      <c r="E48" s="607">
        <v>39273.5</v>
      </c>
      <c r="F48" s="606">
        <f>C48+D48-E48</f>
        <v>28008.270000000004</v>
      </c>
      <c r="G48" s="664"/>
      <c r="H48" s="608"/>
      <c r="I48" s="331"/>
    </row>
    <row r="49" spans="1:16" ht="12.75" thickBot="1" x14ac:dyDescent="0.25">
      <c r="A49" s="609"/>
      <c r="B49" s="610" t="s">
        <v>21</v>
      </c>
      <c r="C49" s="604">
        <f>'August 2023'!F49</f>
        <v>0</v>
      </c>
      <c r="D49" s="611"/>
      <c r="E49" s="611"/>
      <c r="F49" s="606">
        <f t="shared" ref="F49:F51" si="4">C49+D49-E49</f>
        <v>0</v>
      </c>
      <c r="G49" s="664"/>
      <c r="H49" s="608"/>
      <c r="I49" s="79"/>
    </row>
    <row r="50" spans="1:16" ht="12.75" thickBot="1" x14ac:dyDescent="0.25">
      <c r="A50" s="609"/>
      <c r="B50" s="610" t="s">
        <v>40</v>
      </c>
      <c r="C50" s="604">
        <f>'August 2023'!F50</f>
        <v>-14684.540000000005</v>
      </c>
      <c r="D50" s="612">
        <v>14183.02</v>
      </c>
      <c r="E50" s="612">
        <v>5005</v>
      </c>
      <c r="F50" s="606">
        <f>C50+D50-E50+0.04</f>
        <v>-5506.4800000000041</v>
      </c>
      <c r="G50" s="664"/>
      <c r="H50" s="613"/>
      <c r="I50" s="79"/>
    </row>
    <row r="51" spans="1:16" ht="12.75" thickBot="1" x14ac:dyDescent="0.25">
      <c r="A51" s="815" t="s">
        <v>16</v>
      </c>
      <c r="B51" s="816"/>
      <c r="C51" s="604">
        <f>'August 2023'!F51</f>
        <v>293374.15000000008</v>
      </c>
      <c r="D51" s="614">
        <v>9252.59</v>
      </c>
      <c r="E51" s="614">
        <v>44000</v>
      </c>
      <c r="F51" s="606">
        <f t="shared" si="4"/>
        <v>258626.74000000011</v>
      </c>
      <c r="G51" s="664"/>
      <c r="H51" s="613"/>
      <c r="I51" s="79"/>
    </row>
    <row r="52" spans="1:16" ht="12.75" thickBot="1" x14ac:dyDescent="0.25">
      <c r="A52" s="615" t="s">
        <v>46</v>
      </c>
      <c r="B52" s="616"/>
      <c r="C52" s="604">
        <f>'August 2023'!F52</f>
        <v>220720.29999999993</v>
      </c>
      <c r="D52" s="576">
        <v>269.85000000000002</v>
      </c>
      <c r="E52" s="576">
        <f>1000+42.49+44.64+44.07</f>
        <v>1131.2</v>
      </c>
      <c r="F52" s="606">
        <f>C52+D52-E52</f>
        <v>219858.94999999992</v>
      </c>
      <c r="G52" s="664"/>
      <c r="H52" s="613"/>
      <c r="I52" s="79"/>
    </row>
    <row r="53" spans="1:16" ht="12.75" thickBot="1" x14ac:dyDescent="0.25">
      <c r="A53" s="811"/>
      <c r="B53" s="812"/>
      <c r="C53" s="617">
        <f>SUM(C47+C48+C51+C52+C50+C49)</f>
        <v>522870.13000000006</v>
      </c>
      <c r="D53" s="618">
        <f>SUM(D47:D52)</f>
        <v>67705.460000000006</v>
      </c>
      <c r="E53" s="618">
        <f>SUM(E47:E52)</f>
        <v>89489.75</v>
      </c>
      <c r="F53" s="606">
        <f>C53+D53-E53+0.04</f>
        <v>501085.88000000006</v>
      </c>
      <c r="G53" s="664"/>
      <c r="H53" s="603"/>
      <c r="I53" s="79"/>
      <c r="J53" s="266"/>
    </row>
    <row r="54" spans="1:16" ht="12" x14ac:dyDescent="0.2">
      <c r="A54" s="666"/>
      <c r="B54" s="662"/>
      <c r="C54" s="664">
        <f>C42-C53</f>
        <v>-0.17000000004190952</v>
      </c>
      <c r="D54" s="664"/>
      <c r="E54" s="664"/>
      <c r="F54" s="664">
        <f>F42-F53</f>
        <v>-0.29999999998835847</v>
      </c>
      <c r="G54" s="663"/>
      <c r="H54" s="664"/>
      <c r="I54" s="331"/>
      <c r="J54" s="331"/>
      <c r="K54" s="266"/>
    </row>
    <row r="55" spans="1:16" ht="12" x14ac:dyDescent="0.2">
      <c r="A55" s="663"/>
      <c r="B55" s="599"/>
      <c r="C55" s="664"/>
      <c r="D55" s="664"/>
      <c r="E55" s="664"/>
      <c r="F55" s="664"/>
      <c r="G55" s="664"/>
      <c r="H55" s="664"/>
      <c r="I55" s="331"/>
    </row>
    <row r="56" spans="1:16" ht="12" x14ac:dyDescent="0.2">
      <c r="A56" s="813" t="s">
        <v>17</v>
      </c>
      <c r="B56" s="813"/>
      <c r="C56" s="813"/>
      <c r="D56" s="813"/>
      <c r="E56" s="814" t="s">
        <v>18</v>
      </c>
      <c r="F56" s="814"/>
      <c r="G56" s="664"/>
      <c r="H56" s="664"/>
      <c r="J56" s="331"/>
    </row>
    <row r="57" spans="1:16" ht="12" x14ac:dyDescent="0.2">
      <c r="A57" s="663"/>
      <c r="B57" s="663"/>
      <c r="C57" s="664"/>
      <c r="D57" s="664"/>
      <c r="E57" s="664"/>
      <c r="F57" s="664"/>
      <c r="G57" s="664"/>
      <c r="H57" s="664"/>
    </row>
    <row r="58" spans="1:16" ht="12" x14ac:dyDescent="0.2">
      <c r="A58" s="813" t="s">
        <v>19</v>
      </c>
      <c r="B58" s="813"/>
      <c r="C58" s="813"/>
      <c r="D58" s="813"/>
      <c r="E58" s="814" t="s">
        <v>18</v>
      </c>
      <c r="F58" s="814"/>
      <c r="G58" s="664"/>
      <c r="H58" s="664"/>
    </row>
    <row r="59" spans="1:16" ht="12" x14ac:dyDescent="0.2">
      <c r="A59" s="666"/>
      <c r="B59" s="662"/>
      <c r="C59" s="524"/>
      <c r="D59" s="524"/>
      <c r="E59" s="524"/>
      <c r="F59" s="613"/>
      <c r="G59" s="524"/>
      <c r="H59" s="524"/>
      <c r="I59" s="331"/>
      <c r="J59" s="79"/>
      <c r="P59" s="364"/>
    </row>
    <row r="60" spans="1:16" ht="12" x14ac:dyDescent="0.2">
      <c r="A60" s="663"/>
      <c r="B60" s="599"/>
      <c r="C60" s="603"/>
      <c r="D60" s="603"/>
      <c r="E60" s="603"/>
      <c r="H60" s="663"/>
      <c r="I60" s="331"/>
      <c r="J60" s="343"/>
      <c r="L60" s="266"/>
      <c r="P60" s="364"/>
    </row>
    <row r="61" spans="1:16" x14ac:dyDescent="0.2">
      <c r="B61" s="340"/>
      <c r="C61" s="79"/>
      <c r="D61" s="331"/>
      <c r="J61" s="331"/>
    </row>
  </sheetData>
  <mergeCells count="17">
    <mergeCell ref="A51:B51"/>
    <mergeCell ref="A2:G2"/>
    <mergeCell ref="A3:G3"/>
    <mergeCell ref="A5:B5"/>
    <mergeCell ref="A6:B6"/>
    <mergeCell ref="A18:B18"/>
    <mergeCell ref="A24:B24"/>
    <mergeCell ref="A34:B34"/>
    <mergeCell ref="A42:B42"/>
    <mergeCell ref="A46:B46"/>
    <mergeCell ref="A47:B47"/>
    <mergeCell ref="A48:B48"/>
    <mergeCell ref="A53:B53"/>
    <mergeCell ref="A56:D56"/>
    <mergeCell ref="E56:F56"/>
    <mergeCell ref="A58:D58"/>
    <mergeCell ref="E58:F58"/>
  </mergeCells>
  <pageMargins left="0.7" right="0.7" top="0.75" bottom="0.75" header="0.3" footer="0.3"/>
  <pageSetup scale="93" orientation="portrait" r:id="rId1"/>
  <legacy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7A851-C571-4A33-9F09-77CF27EC08A7}">
  <sheetPr>
    <pageSetUpPr fitToPage="1"/>
  </sheetPr>
  <dimension ref="A1:R61"/>
  <sheetViews>
    <sheetView topLeftCell="A17" zoomScale="110" zoomScaleNormal="110" workbookViewId="0">
      <selection activeCell="H56" sqref="H56"/>
    </sheetView>
  </sheetViews>
  <sheetFormatPr defaultColWidth="9.140625" defaultRowHeight="11.25" x14ac:dyDescent="0.2"/>
  <cols>
    <col min="1" max="1" width="10.7109375" style="667" customWidth="1"/>
    <col min="2" max="2" width="37.42578125" style="667" customWidth="1"/>
    <col min="3" max="3" width="10" style="667" customWidth="1"/>
    <col min="4" max="4" width="8.85546875" style="667" customWidth="1"/>
    <col min="5" max="5" width="8.7109375" style="667" customWidth="1"/>
    <col min="6" max="6" width="10.28515625" style="667" customWidth="1"/>
    <col min="7" max="7" width="8.85546875" style="667" customWidth="1"/>
    <col min="8" max="8" width="13.85546875" style="667" customWidth="1"/>
    <col min="9" max="9" width="14.7109375" style="667" customWidth="1"/>
    <col min="10" max="10" width="14.5703125" style="667" customWidth="1"/>
    <col min="11" max="11" width="11.28515625" style="667" customWidth="1"/>
    <col min="12" max="15" width="9.140625" style="667"/>
    <col min="16" max="16" width="13" style="667" customWidth="1"/>
    <col min="17" max="16384" width="9.140625" style="667"/>
  </cols>
  <sheetData>
    <row r="1" spans="1:18" hidden="1" x14ac:dyDescent="0.2"/>
    <row r="2" spans="1:18" ht="12" x14ac:dyDescent="0.2">
      <c r="A2" s="817" t="s">
        <v>0</v>
      </c>
      <c r="B2" s="817"/>
      <c r="C2" s="817"/>
      <c r="D2" s="817"/>
      <c r="E2" s="817"/>
      <c r="F2" s="817"/>
      <c r="G2" s="817"/>
      <c r="H2" s="669"/>
    </row>
    <row r="3" spans="1:18" ht="12" x14ac:dyDescent="0.2">
      <c r="A3" s="818" t="s">
        <v>145</v>
      </c>
      <c r="B3" s="818"/>
      <c r="C3" s="818"/>
      <c r="D3" s="818"/>
      <c r="E3" s="818"/>
      <c r="F3" s="818"/>
      <c r="G3" s="818"/>
      <c r="H3" s="526" t="s">
        <v>133</v>
      </c>
      <c r="I3" s="672"/>
    </row>
    <row r="4" spans="1:18" ht="12.75" thickBot="1" x14ac:dyDescent="0.25">
      <c r="A4" s="672"/>
      <c r="B4" s="523" t="s">
        <v>37</v>
      </c>
      <c r="C4" s="672"/>
      <c r="D4" s="672"/>
      <c r="E4" s="672"/>
      <c r="F4" s="524"/>
      <c r="G4" s="672"/>
      <c r="H4" s="530" t="s">
        <v>134</v>
      </c>
    </row>
    <row r="5" spans="1:18" ht="15.75" customHeight="1" x14ac:dyDescent="0.2">
      <c r="A5" s="819" t="s">
        <v>1</v>
      </c>
      <c r="B5" s="820"/>
      <c r="C5" s="525" t="s">
        <v>2</v>
      </c>
      <c r="D5" s="525" t="s">
        <v>3</v>
      </c>
      <c r="E5" s="525" t="s">
        <v>58</v>
      </c>
      <c r="F5" s="525" t="s">
        <v>5</v>
      </c>
      <c r="G5" s="525" t="s">
        <v>6</v>
      </c>
      <c r="H5" s="538" t="s">
        <v>135</v>
      </c>
    </row>
    <row r="6" spans="1:18" ht="12" x14ac:dyDescent="0.2">
      <c r="A6" s="821" t="s">
        <v>132</v>
      </c>
      <c r="B6" s="822"/>
      <c r="C6" s="527">
        <f>SUM(C7:C17)</f>
        <v>296270.25</v>
      </c>
      <c r="D6" s="528">
        <f>SUM(D7:D17)</f>
        <v>2231.6</v>
      </c>
      <c r="E6" s="528">
        <f>SUM(E7:E17)</f>
        <v>-5262.1800000000021</v>
      </c>
      <c r="F6" s="528">
        <f>SUM(F7:F17)</f>
        <v>303764.02999999997</v>
      </c>
      <c r="G6" s="529">
        <f>SUM(G7:G15)</f>
        <v>0</v>
      </c>
      <c r="I6" s="273"/>
      <c r="J6" s="273"/>
      <c r="K6" s="668"/>
      <c r="P6" s="668"/>
      <c r="R6" s="668"/>
    </row>
    <row r="7" spans="1:18" ht="12" customHeight="1" x14ac:dyDescent="0.2">
      <c r="A7" s="531"/>
      <c r="B7" s="532" t="s">
        <v>23</v>
      </c>
      <c r="C7" s="533">
        <f>'September 2023'!F7</f>
        <v>220132.71</v>
      </c>
      <c r="D7" s="534">
        <f>810.6+527.42</f>
        <v>1338.02</v>
      </c>
      <c r="E7" s="535">
        <f>784.63+1000+184.09+3694.08+116.86+36.96+2875.34-17842.65</f>
        <v>-9150.6900000000023</v>
      </c>
      <c r="F7" s="536">
        <f>C7+D7-E7</f>
        <v>230621.41999999998</v>
      </c>
      <c r="G7" s="537"/>
      <c r="I7" s="668"/>
    </row>
    <row r="8" spans="1:18" ht="12" x14ac:dyDescent="0.2">
      <c r="A8" s="539"/>
      <c r="B8" s="540" t="s">
        <v>62</v>
      </c>
      <c r="C8" s="533">
        <f>'September 2023'!F8</f>
        <v>-4602.8399999999983</v>
      </c>
      <c r="D8" s="541"/>
      <c r="E8" s="541">
        <v>3113.53</v>
      </c>
      <c r="F8" s="542">
        <f t="shared" ref="F8:F15" si="0">C8+D8-E8</f>
        <v>-7716.369999999999</v>
      </c>
      <c r="G8" s="537"/>
      <c r="H8" s="543"/>
      <c r="I8" s="287"/>
    </row>
    <row r="9" spans="1:18" ht="12" hidden="1" x14ac:dyDescent="0.2">
      <c r="A9" s="539"/>
      <c r="B9" s="544" t="s">
        <v>67</v>
      </c>
      <c r="C9" s="533">
        <f>'September 2023'!F9</f>
        <v>0</v>
      </c>
      <c r="D9" s="541"/>
      <c r="E9" s="541"/>
      <c r="F9" s="536">
        <f t="shared" si="0"/>
        <v>0</v>
      </c>
      <c r="G9" s="537"/>
      <c r="H9" s="543"/>
      <c r="I9" s="289"/>
      <c r="J9" s="668"/>
    </row>
    <row r="10" spans="1:18" ht="12" hidden="1" x14ac:dyDescent="0.2">
      <c r="A10" s="539"/>
      <c r="B10" s="544" t="s">
        <v>41</v>
      </c>
      <c r="C10" s="533">
        <f>'September 2023'!F10</f>
        <v>-1.0000000002037268E-2</v>
      </c>
      <c r="D10" s="545"/>
      <c r="E10" s="545"/>
      <c r="F10" s="542">
        <f t="shared" si="0"/>
        <v>-1.0000000002037268E-2</v>
      </c>
      <c r="G10" s="537"/>
      <c r="H10" s="543"/>
      <c r="I10" s="291"/>
      <c r="J10" s="668"/>
    </row>
    <row r="11" spans="1:18" ht="12" x14ac:dyDescent="0.2">
      <c r="A11" s="539"/>
      <c r="B11" s="544" t="s">
        <v>117</v>
      </c>
      <c r="C11" s="533">
        <f>'September 2023'!F11</f>
        <v>326</v>
      </c>
      <c r="D11" s="546"/>
      <c r="E11" s="546"/>
      <c r="F11" s="536">
        <f t="shared" si="0"/>
        <v>326</v>
      </c>
      <c r="G11" s="537"/>
      <c r="H11" s="543"/>
      <c r="I11" s="293"/>
    </row>
    <row r="12" spans="1:18" ht="12" x14ac:dyDescent="0.2">
      <c r="A12" s="539"/>
      <c r="B12" s="544" t="s">
        <v>20</v>
      </c>
      <c r="C12" s="533">
        <f>'September 2023'!F12</f>
        <v>2258.3199999999997</v>
      </c>
      <c r="D12" s="547">
        <v>269.45999999999998</v>
      </c>
      <c r="E12" s="547">
        <v>204.4</v>
      </c>
      <c r="F12" s="548">
        <f>C12+D12-E12</f>
        <v>2323.3799999999997</v>
      </c>
      <c r="G12" s="537"/>
      <c r="H12" s="543"/>
      <c r="I12" s="668"/>
    </row>
    <row r="13" spans="1:18" ht="12" x14ac:dyDescent="0.2">
      <c r="A13" s="539"/>
      <c r="B13" s="544" t="s">
        <v>22</v>
      </c>
      <c r="C13" s="533">
        <f>'September 2023'!F13</f>
        <v>370.03999999999979</v>
      </c>
      <c r="D13" s="547">
        <v>18.54</v>
      </c>
      <c r="E13" s="547">
        <v>80</v>
      </c>
      <c r="F13" s="548">
        <f>C13+D13-E13</f>
        <v>308.57999999999981</v>
      </c>
      <c r="G13" s="537"/>
      <c r="H13" s="543"/>
      <c r="I13" s="668"/>
    </row>
    <row r="14" spans="1:18" ht="12" x14ac:dyDescent="0.2">
      <c r="A14" s="539"/>
      <c r="B14" s="544" t="s">
        <v>28</v>
      </c>
      <c r="C14" s="533">
        <f>'September 2023'!F14</f>
        <v>-735.33000000000118</v>
      </c>
      <c r="D14" s="547">
        <v>605.58000000000004</v>
      </c>
      <c r="E14" s="547">
        <v>25.82</v>
      </c>
      <c r="F14" s="542">
        <f t="shared" si="0"/>
        <v>-155.57000000000113</v>
      </c>
      <c r="G14" s="537"/>
      <c r="H14" s="543"/>
      <c r="I14" s="668"/>
    </row>
    <row r="15" spans="1:18" ht="12" x14ac:dyDescent="0.2">
      <c r="A15" s="539"/>
      <c r="B15" s="549" t="s">
        <v>42</v>
      </c>
      <c r="C15" s="533">
        <f>'September 2023'!F15</f>
        <v>366.42000000000007</v>
      </c>
      <c r="D15" s="541"/>
      <c r="E15" s="541">
        <v>309.83999999999997</v>
      </c>
      <c r="F15" s="550">
        <f t="shared" si="0"/>
        <v>56.580000000000098</v>
      </c>
      <c r="G15" s="537"/>
      <c r="H15" s="543"/>
      <c r="I15" s="668"/>
    </row>
    <row r="16" spans="1:18" ht="12" x14ac:dyDescent="0.2">
      <c r="A16" s="539"/>
      <c r="B16" s="549" t="s">
        <v>43</v>
      </c>
      <c r="C16" s="533">
        <f>'September 2023'!F16</f>
        <v>-1090.5100000000004</v>
      </c>
      <c r="D16" s="541"/>
      <c r="E16" s="541">
        <v>154.91999999999999</v>
      </c>
      <c r="F16" s="548">
        <f>C16+D16-E16</f>
        <v>-1245.4300000000005</v>
      </c>
      <c r="G16" s="537"/>
      <c r="H16" s="543"/>
      <c r="I16" s="273"/>
      <c r="P16" s="668"/>
    </row>
    <row r="17" spans="1:16" ht="12" x14ac:dyDescent="0.2">
      <c r="A17" s="658"/>
      <c r="B17" s="659" t="s">
        <v>141</v>
      </c>
      <c r="C17" s="533">
        <f>'September 2023'!F17</f>
        <v>79245.45</v>
      </c>
      <c r="D17" s="541"/>
      <c r="E17" s="541"/>
      <c r="F17" s="548">
        <f>C17+D17-E17</f>
        <v>79245.45</v>
      </c>
      <c r="G17" s="537"/>
      <c r="H17" s="543"/>
      <c r="I17" s="273"/>
      <c r="P17" s="668"/>
    </row>
    <row r="18" spans="1:16" ht="12" x14ac:dyDescent="0.2">
      <c r="A18" s="823" t="s">
        <v>53</v>
      </c>
      <c r="B18" s="823"/>
      <c r="C18" s="551">
        <f>SUM(C19:C23)</f>
        <v>-34403.89</v>
      </c>
      <c r="D18" s="552">
        <f>SUM(D19:D23)</f>
        <v>10403.15</v>
      </c>
      <c r="E18" s="552">
        <f>SUM(E19:E23)</f>
        <v>4437.47</v>
      </c>
      <c r="F18" s="542">
        <f>SUM(F19:F23)</f>
        <v>-28438.210000000003</v>
      </c>
      <c r="G18" s="553">
        <f>SUM(G21+G23+G19)</f>
        <v>13500</v>
      </c>
      <c r="H18" s="543"/>
      <c r="I18" s="273"/>
      <c r="P18" s="668"/>
    </row>
    <row r="19" spans="1:16" ht="12" x14ac:dyDescent="0.2">
      <c r="A19" s="554"/>
      <c r="B19" s="555" t="s">
        <v>9</v>
      </c>
      <c r="C19" s="556">
        <f>'September 2023'!F19</f>
        <v>-1.8189894035458565E-12</v>
      </c>
      <c r="D19" s="557"/>
      <c r="E19" s="558"/>
      <c r="F19" s="559">
        <f>C19+D19-E19</f>
        <v>-1.8189894035458565E-12</v>
      </c>
      <c r="G19" s="541"/>
      <c r="H19" s="560"/>
      <c r="I19" s="668"/>
      <c r="J19" s="79"/>
    </row>
    <row r="20" spans="1:16" ht="12" x14ac:dyDescent="0.2">
      <c r="A20" s="539"/>
      <c r="B20" s="561" t="s">
        <v>8</v>
      </c>
      <c r="C20" s="556">
        <f>'September 2023'!F20</f>
        <v>-24220.1</v>
      </c>
      <c r="D20" s="547">
        <v>10403.15</v>
      </c>
      <c r="E20" s="545">
        <v>771.7</v>
      </c>
      <c r="F20" s="559">
        <f>C20+D20-E20</f>
        <v>-14588.65</v>
      </c>
      <c r="G20" s="562"/>
      <c r="H20" s="560"/>
      <c r="I20" s="668"/>
    </row>
    <row r="21" spans="1:16" ht="12" x14ac:dyDescent="0.2">
      <c r="A21" s="539"/>
      <c r="B21" s="563" t="s">
        <v>32</v>
      </c>
      <c r="C21" s="556">
        <f>'September 2023'!F21</f>
        <v>-4415.72</v>
      </c>
      <c r="D21" s="547"/>
      <c r="E21" s="545">
        <v>1391.03</v>
      </c>
      <c r="F21" s="559">
        <f t="shared" ref="F21:F23" si="1">C21+D21-E21</f>
        <v>-5806.75</v>
      </c>
      <c r="G21" s="564">
        <v>5000</v>
      </c>
      <c r="H21" s="560"/>
      <c r="I21" s="668"/>
    </row>
    <row r="22" spans="1:16" ht="12" x14ac:dyDescent="0.2">
      <c r="A22" s="539"/>
      <c r="B22" s="561" t="s">
        <v>67</v>
      </c>
      <c r="C22" s="556">
        <f>'September 2023'!F22</f>
        <v>147.28999999999991</v>
      </c>
      <c r="D22" s="547"/>
      <c r="E22" s="547">
        <v>229.11</v>
      </c>
      <c r="F22" s="559">
        <f t="shared" si="1"/>
        <v>-81.820000000000107</v>
      </c>
      <c r="G22" s="564"/>
      <c r="H22" s="560"/>
      <c r="I22" s="668"/>
    </row>
    <row r="23" spans="1:16" ht="12" x14ac:dyDescent="0.2">
      <c r="A23" s="565"/>
      <c r="B23" s="566" t="s">
        <v>38</v>
      </c>
      <c r="C23" s="556">
        <f>'September 2023'!F23</f>
        <v>-5915.3600000000006</v>
      </c>
      <c r="D23" s="567"/>
      <c r="E23" s="558">
        <v>2045.63</v>
      </c>
      <c r="F23" s="559">
        <f t="shared" si="1"/>
        <v>-7960.9900000000007</v>
      </c>
      <c r="G23" s="541">
        <v>8500</v>
      </c>
      <c r="H23" s="560"/>
      <c r="I23" s="668"/>
      <c r="J23" s="79"/>
    </row>
    <row r="24" spans="1:16" ht="12" x14ac:dyDescent="0.2">
      <c r="A24" s="824" t="s">
        <v>10</v>
      </c>
      <c r="B24" s="825"/>
      <c r="C24" s="551">
        <f>SUM(C25:C33)</f>
        <v>145281.22000000003</v>
      </c>
      <c r="D24" s="568">
        <f>SUM(D25:D33)</f>
        <v>37420</v>
      </c>
      <c r="E24" s="569">
        <f>SUM(E25:E33)</f>
        <v>18662.310000000001</v>
      </c>
      <c r="F24" s="569">
        <f>SUM(F25:F33)-0.08</f>
        <v>164038.85000000006</v>
      </c>
      <c r="G24" s="570"/>
      <c r="H24" s="543"/>
      <c r="I24" s="273"/>
      <c r="P24" s="668"/>
    </row>
    <row r="25" spans="1:16" ht="12" hidden="1" x14ac:dyDescent="0.2">
      <c r="A25" s="554"/>
      <c r="B25" s="571" t="s">
        <v>55</v>
      </c>
      <c r="C25" s="556">
        <f>'February 2021'!G24</f>
        <v>0</v>
      </c>
      <c r="D25" s="572"/>
      <c r="E25" s="557"/>
      <c r="F25" s="573">
        <f>C25+D25-E25</f>
        <v>0</v>
      </c>
      <c r="G25" s="534"/>
      <c r="H25" s="543"/>
      <c r="I25" s="668"/>
      <c r="J25" s="319"/>
    </row>
    <row r="26" spans="1:16" ht="12" hidden="1" x14ac:dyDescent="0.2">
      <c r="A26" s="565"/>
      <c r="B26" s="549" t="s">
        <v>70</v>
      </c>
      <c r="C26" s="556">
        <f>'January 2022'!F25</f>
        <v>7.9999999998108251E-2</v>
      </c>
      <c r="D26" s="567"/>
      <c r="E26" s="567"/>
      <c r="F26" s="573">
        <f>C26+D26-E26</f>
        <v>7.9999999998108251E-2</v>
      </c>
      <c r="G26" s="541"/>
      <c r="H26" s="543"/>
      <c r="I26" s="668"/>
      <c r="J26" s="319"/>
    </row>
    <row r="27" spans="1:16" ht="12" hidden="1" x14ac:dyDescent="0.2">
      <c r="A27" s="531"/>
      <c r="B27" s="574" t="s">
        <v>105</v>
      </c>
      <c r="C27" s="556">
        <f>'April 2023'!F26</f>
        <v>-1.9999999992592166E-2</v>
      </c>
      <c r="D27" s="558"/>
      <c r="E27" s="575"/>
      <c r="F27" s="573">
        <f>C27+D27-E27+0.02</f>
        <v>7.4078347622741347E-12</v>
      </c>
      <c r="G27" s="541"/>
      <c r="H27" s="543"/>
      <c r="I27" s="668"/>
      <c r="J27" s="668"/>
    </row>
    <row r="28" spans="1:16" ht="12" hidden="1" x14ac:dyDescent="0.2">
      <c r="A28" s="531"/>
      <c r="B28" s="574" t="s">
        <v>39</v>
      </c>
      <c r="C28" s="556">
        <f>'April 2023'!F27</f>
        <v>8.1854523159563541E-12</v>
      </c>
      <c r="D28" s="567"/>
      <c r="E28" s="558"/>
      <c r="F28" s="573">
        <f t="shared" ref="F28:F32" si="2">C28+D28-E28</f>
        <v>8.1854523159563541E-12</v>
      </c>
      <c r="G28" s="541"/>
      <c r="H28" s="543"/>
      <c r="I28" s="668"/>
      <c r="J28" s="668"/>
    </row>
    <row r="29" spans="1:16" ht="12" x14ac:dyDescent="0.2">
      <c r="A29" s="531"/>
      <c r="B29" s="574" t="s">
        <v>147</v>
      </c>
      <c r="C29" s="556">
        <f>'September 2023'!F29</f>
        <v>10974.819999999998</v>
      </c>
      <c r="D29" s="567">
        <f>18710+18710</f>
        <v>37420</v>
      </c>
      <c r="E29" s="567">
        <v>5907.77</v>
      </c>
      <c r="F29" s="573">
        <f t="shared" si="2"/>
        <v>42487.05</v>
      </c>
      <c r="G29" s="541"/>
      <c r="H29" s="543"/>
      <c r="I29" s="668"/>
      <c r="J29" s="668"/>
    </row>
    <row r="30" spans="1:16" ht="12" hidden="1" x14ac:dyDescent="0.2">
      <c r="A30" s="531"/>
      <c r="B30" s="574" t="s">
        <v>86</v>
      </c>
      <c r="C30" s="556">
        <f>'September 2023'!F30</f>
        <v>-1.9326762412674725E-12</v>
      </c>
      <c r="D30" s="567"/>
      <c r="E30" s="567"/>
      <c r="F30" s="573">
        <f t="shared" si="2"/>
        <v>-1.9326762412674725E-12</v>
      </c>
      <c r="G30" s="541"/>
      <c r="H30" s="543"/>
      <c r="I30" s="668"/>
      <c r="J30" s="668"/>
    </row>
    <row r="31" spans="1:16" ht="12" x14ac:dyDescent="0.2">
      <c r="A31" s="531"/>
      <c r="B31" s="574" t="s">
        <v>101</v>
      </c>
      <c r="C31" s="556">
        <f>'September 2023'!F31</f>
        <v>30023.190000000017</v>
      </c>
      <c r="D31" s="567"/>
      <c r="E31" s="567">
        <v>12281.81</v>
      </c>
      <c r="F31" s="573">
        <f t="shared" si="2"/>
        <v>17741.380000000019</v>
      </c>
      <c r="G31" s="541"/>
      <c r="H31" s="543"/>
      <c r="I31" s="668"/>
      <c r="J31" s="668"/>
    </row>
    <row r="32" spans="1:16" ht="12" x14ac:dyDescent="0.2">
      <c r="A32" s="531"/>
      <c r="B32" s="574" t="s">
        <v>119</v>
      </c>
      <c r="C32" s="556">
        <f>'September 2023'!F32</f>
        <v>118184</v>
      </c>
      <c r="D32" s="567"/>
      <c r="E32" s="567"/>
      <c r="F32" s="573">
        <f t="shared" si="2"/>
        <v>118184</v>
      </c>
      <c r="G32" s="541"/>
      <c r="H32" s="543"/>
      <c r="I32" s="668"/>
      <c r="J32" s="668"/>
    </row>
    <row r="33" spans="1:16" ht="12" x14ac:dyDescent="0.2">
      <c r="A33" s="531"/>
      <c r="B33" s="549" t="s">
        <v>44</v>
      </c>
      <c r="C33" s="556">
        <f>'September 2023'!F33</f>
        <v>-13900.849999999999</v>
      </c>
      <c r="D33" s="567"/>
      <c r="E33" s="558">
        <v>472.73</v>
      </c>
      <c r="F33" s="573">
        <f>C33+D33-E33</f>
        <v>-14373.579999999998</v>
      </c>
      <c r="G33" s="541"/>
      <c r="H33" s="543"/>
      <c r="I33" s="668"/>
      <c r="J33" s="668"/>
    </row>
    <row r="34" spans="1:16" ht="12" x14ac:dyDescent="0.2">
      <c r="A34" s="826" t="s">
        <v>35</v>
      </c>
      <c r="B34" s="827"/>
      <c r="C34" s="551">
        <f>SUM(C35:C41)</f>
        <v>93938.060000000027</v>
      </c>
      <c r="D34" s="568">
        <f>SUM(D35:D41)</f>
        <v>24792</v>
      </c>
      <c r="E34" s="569">
        <f>SUM(E35:E41)</f>
        <v>1043.5900000000001</v>
      </c>
      <c r="F34" s="569">
        <f>SUM(F35:F41)</f>
        <v>117686.47000000003</v>
      </c>
      <c r="G34" s="570">
        <f>SUM(G35:G38)</f>
        <v>35000</v>
      </c>
      <c r="H34" s="543"/>
      <c r="I34" s="273"/>
      <c r="P34" s="668"/>
    </row>
    <row r="35" spans="1:16" ht="12" x14ac:dyDescent="0.2">
      <c r="A35" s="565"/>
      <c r="B35" s="549" t="s">
        <v>146</v>
      </c>
      <c r="C35" s="556">
        <f>'September 2023'!F35</f>
        <v>24908.990000000005</v>
      </c>
      <c r="D35" s="576">
        <f>12396+12396</f>
        <v>24792</v>
      </c>
      <c r="E35" s="577">
        <v>392.76</v>
      </c>
      <c r="F35" s="578">
        <f>C35+D35-E35</f>
        <v>49308.23</v>
      </c>
      <c r="G35" s="541"/>
      <c r="H35" s="543"/>
      <c r="I35" s="668"/>
      <c r="J35" s="319"/>
    </row>
    <row r="36" spans="1:16" ht="12" x14ac:dyDescent="0.2">
      <c r="A36" s="565"/>
      <c r="B36" s="549" t="s">
        <v>90</v>
      </c>
      <c r="C36" s="556">
        <f>'September 2023'!F36</f>
        <v>19610.310000000012</v>
      </c>
      <c r="D36" s="576"/>
      <c r="E36" s="577">
        <v>229.11</v>
      </c>
      <c r="F36" s="578">
        <f t="shared" ref="F36:F37" si="3">C36+D36-E36</f>
        <v>19381.200000000012</v>
      </c>
      <c r="G36" s="541">
        <v>35000</v>
      </c>
      <c r="H36" s="543"/>
      <c r="I36" s="668"/>
      <c r="J36" s="319"/>
    </row>
    <row r="37" spans="1:16" ht="12" x14ac:dyDescent="0.2">
      <c r="A37" s="565"/>
      <c r="B37" s="549" t="s">
        <v>138</v>
      </c>
      <c r="C37" s="556">
        <f>'September 2023'!F37</f>
        <v>6049</v>
      </c>
      <c r="D37" s="576"/>
      <c r="E37" s="577"/>
      <c r="F37" s="578">
        <f t="shared" si="3"/>
        <v>6049</v>
      </c>
      <c r="G37" s="541"/>
      <c r="H37" s="543"/>
      <c r="I37" s="668"/>
      <c r="J37" s="319"/>
    </row>
    <row r="38" spans="1:16" ht="12" x14ac:dyDescent="0.2">
      <c r="A38" s="565"/>
      <c r="B38" s="579" t="s">
        <v>143</v>
      </c>
      <c r="C38" s="556">
        <f>'September 2023'!F38</f>
        <v>22289.75</v>
      </c>
      <c r="D38" s="576"/>
      <c r="E38" s="558"/>
      <c r="F38" s="578">
        <f>C38+D38-E38</f>
        <v>22289.75</v>
      </c>
      <c r="G38" s="541"/>
      <c r="H38" s="543"/>
      <c r="I38" s="293"/>
      <c r="J38" s="266"/>
      <c r="P38" s="326"/>
    </row>
    <row r="39" spans="1:16" ht="12" x14ac:dyDescent="0.2">
      <c r="A39" s="672"/>
      <c r="B39" s="672" t="s">
        <v>99</v>
      </c>
      <c r="C39" s="556">
        <f>'September 2023'!F39</f>
        <v>10550</v>
      </c>
      <c r="D39" s="580"/>
      <c r="E39" s="672"/>
      <c r="F39" s="578">
        <f>C39+D39-E39</f>
        <v>10550</v>
      </c>
      <c r="G39" s="672"/>
      <c r="H39" s="672"/>
    </row>
    <row r="40" spans="1:16" ht="12" x14ac:dyDescent="0.2">
      <c r="A40" s="672"/>
      <c r="B40" s="672" t="s">
        <v>131</v>
      </c>
      <c r="C40" s="556">
        <f>'September 2023'!F40</f>
        <v>11354.29</v>
      </c>
      <c r="D40" s="582"/>
      <c r="E40" s="672">
        <v>49.1</v>
      </c>
      <c r="F40" s="578">
        <f>C40+D40-E40</f>
        <v>11305.19</v>
      </c>
      <c r="G40" s="672"/>
      <c r="H40" s="672"/>
    </row>
    <row r="41" spans="1:16" ht="12.75" thickBot="1" x14ac:dyDescent="0.25">
      <c r="A41" s="672"/>
      <c r="B41" s="583" t="s">
        <v>111</v>
      </c>
      <c r="C41" s="556">
        <f>'September 2023'!F41</f>
        <v>-824.28000000000043</v>
      </c>
      <c r="D41" s="584"/>
      <c r="E41" s="672">
        <f>331.36+41.26</f>
        <v>372.62</v>
      </c>
      <c r="F41" s="578">
        <f>C41+D41-E41</f>
        <v>-1196.9000000000005</v>
      </c>
      <c r="G41" s="672"/>
      <c r="H41" s="672"/>
    </row>
    <row r="42" spans="1:16" ht="12.75" thickBot="1" x14ac:dyDescent="0.25">
      <c r="A42" s="828" t="s">
        <v>11</v>
      </c>
      <c r="B42" s="812"/>
      <c r="C42" s="585">
        <f>C34+C24+C18+C6</f>
        <v>501085.64000000007</v>
      </c>
      <c r="D42" s="627">
        <f>SUM(D24,D18,D6,D34)</f>
        <v>74846.75</v>
      </c>
      <c r="E42" s="587">
        <f>SUM(E24,E18,E6,E34)</f>
        <v>18881.189999999999</v>
      </c>
      <c r="F42" s="588">
        <f>SUM(F24,F18,F6,F34)</f>
        <v>557051.14000000013</v>
      </c>
      <c r="G42" s="589">
        <f>SUM(G6,G18,G24,G34)</f>
        <v>48500</v>
      </c>
      <c r="H42" s="673"/>
      <c r="I42" s="668"/>
      <c r="J42" s="331"/>
    </row>
    <row r="43" spans="1:16" ht="12" hidden="1" x14ac:dyDescent="0.2">
      <c r="A43" s="670"/>
      <c r="B43" s="671"/>
      <c r="C43" s="673">
        <f>SUM(C18:C23)</f>
        <v>-68807.78</v>
      </c>
      <c r="D43" s="673"/>
      <c r="E43" s="673"/>
      <c r="F43" s="673"/>
      <c r="G43" s="593"/>
      <c r="H43" s="673"/>
      <c r="K43" s="667" t="s">
        <v>12</v>
      </c>
      <c r="L43" s="667">
        <v>42.43</v>
      </c>
    </row>
    <row r="44" spans="1:16" ht="12.75" hidden="1" thickBot="1" x14ac:dyDescent="0.25">
      <c r="A44" s="594" t="s">
        <v>25</v>
      </c>
      <c r="B44" s="595"/>
      <c r="C44" s="596" t="e">
        <f>SUM(C42,#REF!)</f>
        <v>#REF!</v>
      </c>
      <c r="D44" s="597" t="e">
        <f>SUM(D42,#REF!)</f>
        <v>#REF!</v>
      </c>
      <c r="E44" s="597" t="e">
        <f>SUM(E42,#REF!)</f>
        <v>#REF!</v>
      </c>
      <c r="F44" s="598" t="e">
        <f>SUM(F42,#REF!)</f>
        <v>#REF!</v>
      </c>
      <c r="G44" s="593"/>
      <c r="H44" s="673"/>
      <c r="I44" s="331"/>
      <c r="J44" s="79">
        <v>206730.35</v>
      </c>
    </row>
    <row r="45" spans="1:16" ht="12.75" thickBot="1" x14ac:dyDescent="0.25">
      <c r="A45" s="672"/>
      <c r="B45" s="599"/>
      <c r="C45" s="673"/>
      <c r="D45" s="673"/>
      <c r="E45" s="673"/>
      <c r="F45" s="673"/>
      <c r="G45" s="593"/>
      <c r="H45" s="600"/>
      <c r="I45" s="331"/>
      <c r="J45" s="79"/>
      <c r="P45" s="668"/>
    </row>
    <row r="46" spans="1:16" ht="12.75" thickBot="1" x14ac:dyDescent="0.25">
      <c r="A46" s="829" t="s">
        <v>13</v>
      </c>
      <c r="B46" s="830"/>
      <c r="C46" s="601" t="s">
        <v>2</v>
      </c>
      <c r="D46" s="601" t="s">
        <v>3</v>
      </c>
      <c r="E46" s="601" t="s">
        <v>27</v>
      </c>
      <c r="F46" s="601" t="s">
        <v>5</v>
      </c>
      <c r="G46" s="602"/>
      <c r="H46" s="603"/>
      <c r="I46" s="343"/>
    </row>
    <row r="47" spans="1:16" ht="12.75" thickBot="1" x14ac:dyDescent="0.25">
      <c r="A47" s="815" t="s">
        <v>14</v>
      </c>
      <c r="B47" s="816"/>
      <c r="C47" s="604">
        <f>'September 2023'!F47</f>
        <v>98.399999999999991</v>
      </c>
      <c r="D47" s="605"/>
      <c r="E47" s="605"/>
      <c r="F47" s="606">
        <f>C47+D47-E47</f>
        <v>98.399999999999991</v>
      </c>
      <c r="G47" s="673"/>
      <c r="H47" s="672"/>
      <c r="I47" s="331"/>
      <c r="J47" s="79"/>
    </row>
    <row r="48" spans="1:16" ht="12.75" thickBot="1" x14ac:dyDescent="0.25">
      <c r="A48" s="831" t="s">
        <v>15</v>
      </c>
      <c r="B48" s="832"/>
      <c r="C48" s="604">
        <f>'September 2023'!F48</f>
        <v>28008.270000000004</v>
      </c>
      <c r="D48" s="607"/>
      <c r="E48" s="607">
        <v>20366.11</v>
      </c>
      <c r="F48" s="606">
        <f>C48+D48-E48</f>
        <v>7642.1600000000035</v>
      </c>
      <c r="G48" s="673"/>
      <c r="H48" s="608"/>
      <c r="I48" s="331"/>
    </row>
    <row r="49" spans="1:16" ht="12.75" thickBot="1" x14ac:dyDescent="0.25">
      <c r="A49" s="609"/>
      <c r="B49" s="610" t="s">
        <v>21</v>
      </c>
      <c r="C49" s="604">
        <f>'September 2023'!F49</f>
        <v>0</v>
      </c>
      <c r="D49" s="611"/>
      <c r="E49" s="611"/>
      <c r="F49" s="606">
        <f t="shared" ref="F49:F51" si="4">C49+D49-E49</f>
        <v>0</v>
      </c>
      <c r="G49" s="673"/>
      <c r="H49" s="608"/>
      <c r="I49" s="79"/>
    </row>
    <row r="50" spans="1:16" ht="12.75" thickBot="1" x14ac:dyDescent="0.25">
      <c r="A50" s="609"/>
      <c r="B50" s="610" t="s">
        <v>40</v>
      </c>
      <c r="C50" s="604">
        <f>'September 2023'!F50</f>
        <v>-5506.4800000000041</v>
      </c>
      <c r="D50" s="612">
        <v>5005</v>
      </c>
      <c r="E50" s="612">
        <v>5367.96</v>
      </c>
      <c r="F50" s="606">
        <f>C50+D50-E50+0.04</f>
        <v>-5869.4000000000042</v>
      </c>
      <c r="G50" s="673"/>
      <c r="H50" s="613"/>
      <c r="I50" s="79"/>
    </row>
    <row r="51" spans="1:16" ht="12.75" thickBot="1" x14ac:dyDescent="0.25">
      <c r="A51" s="815" t="s">
        <v>16</v>
      </c>
      <c r="B51" s="816"/>
      <c r="C51" s="604">
        <f>'September 2023'!F51</f>
        <v>258626.74000000011</v>
      </c>
      <c r="D51" s="614">
        <v>77409.67</v>
      </c>
      <c r="E51" s="614"/>
      <c r="F51" s="606">
        <f t="shared" si="4"/>
        <v>336036.41000000009</v>
      </c>
      <c r="G51" s="673"/>
      <c r="H51" s="613"/>
      <c r="I51" s="79"/>
    </row>
    <row r="52" spans="1:16" ht="12.75" thickBot="1" x14ac:dyDescent="0.25">
      <c r="A52" s="615" t="s">
        <v>46</v>
      </c>
      <c r="B52" s="616"/>
      <c r="C52" s="604">
        <f>'September 2023'!F52</f>
        <v>219858.94999999992</v>
      </c>
      <c r="D52" s="576">
        <v>284.99</v>
      </c>
      <c r="E52" s="576">
        <v>1000</v>
      </c>
      <c r="F52" s="606">
        <f>C52+D52-E52</f>
        <v>219143.93999999992</v>
      </c>
      <c r="G52" s="673"/>
      <c r="H52" s="613"/>
      <c r="I52" s="79"/>
    </row>
    <row r="53" spans="1:16" ht="12.75" thickBot="1" x14ac:dyDescent="0.25">
      <c r="A53" s="811"/>
      <c r="B53" s="812"/>
      <c r="C53" s="617">
        <f>SUM(C47+C48+C51+C52+C50+C49)</f>
        <v>501085.88</v>
      </c>
      <c r="D53" s="618">
        <f>SUM(D47:D52)</f>
        <v>82699.66</v>
      </c>
      <c r="E53" s="618">
        <f>SUM(E47:E52)</f>
        <v>26734.07</v>
      </c>
      <c r="F53" s="606">
        <f>C53+D53-E53+0.04</f>
        <v>557051.51000000013</v>
      </c>
      <c r="G53" s="673"/>
      <c r="H53" s="603"/>
      <c r="I53" s="79"/>
      <c r="J53" s="266"/>
    </row>
    <row r="54" spans="1:16" ht="12" x14ac:dyDescent="0.2">
      <c r="A54" s="670"/>
      <c r="B54" s="671"/>
      <c r="C54" s="673">
        <f>C42-C53</f>
        <v>-0.23999999993247911</v>
      </c>
      <c r="D54" s="673"/>
      <c r="E54" s="673"/>
      <c r="F54" s="673">
        <f>F42-F53</f>
        <v>-0.36999999999534339</v>
      </c>
      <c r="G54" s="672"/>
      <c r="H54" s="673"/>
      <c r="I54" s="331"/>
      <c r="J54" s="331"/>
      <c r="K54" s="266"/>
    </row>
    <row r="55" spans="1:16" ht="12" x14ac:dyDescent="0.2">
      <c r="A55" s="672"/>
      <c r="B55" s="599"/>
      <c r="C55" s="673"/>
      <c r="D55" s="673"/>
      <c r="E55" s="673"/>
      <c r="F55" s="673"/>
      <c r="G55" s="673"/>
      <c r="H55" s="673"/>
      <c r="I55" s="331"/>
    </row>
    <row r="56" spans="1:16" ht="12" x14ac:dyDescent="0.2">
      <c r="A56" s="813" t="s">
        <v>17</v>
      </c>
      <c r="B56" s="813"/>
      <c r="C56" s="813"/>
      <c r="D56" s="813"/>
      <c r="E56" s="814" t="s">
        <v>18</v>
      </c>
      <c r="F56" s="814"/>
      <c r="G56" s="673"/>
      <c r="H56" s="673"/>
      <c r="J56" s="331"/>
    </row>
    <row r="57" spans="1:16" ht="12" x14ac:dyDescent="0.2">
      <c r="A57" s="672"/>
      <c r="B57" s="672"/>
      <c r="C57" s="673"/>
      <c r="D57" s="673"/>
      <c r="E57" s="673"/>
      <c r="F57" s="673"/>
      <c r="G57" s="673"/>
      <c r="H57" s="673"/>
    </row>
    <row r="58" spans="1:16" ht="12" x14ac:dyDescent="0.2">
      <c r="A58" s="813" t="s">
        <v>19</v>
      </c>
      <c r="B58" s="813"/>
      <c r="C58" s="813"/>
      <c r="D58" s="813"/>
      <c r="E58" s="814" t="s">
        <v>18</v>
      </c>
      <c r="F58" s="814"/>
      <c r="G58" s="673"/>
      <c r="H58" s="673"/>
    </row>
    <row r="59" spans="1:16" ht="12" x14ac:dyDescent="0.2">
      <c r="A59" s="670"/>
      <c r="B59" s="671"/>
      <c r="C59" s="524"/>
      <c r="D59" s="524"/>
      <c r="E59" s="524"/>
      <c r="F59" s="613"/>
      <c r="G59" s="524"/>
      <c r="H59" s="524"/>
      <c r="I59" s="331"/>
      <c r="J59" s="79"/>
      <c r="P59" s="364"/>
    </row>
    <row r="60" spans="1:16" ht="12" x14ac:dyDescent="0.2">
      <c r="A60" s="672"/>
      <c r="B60" s="599"/>
      <c r="C60" s="603"/>
      <c r="D60" s="603"/>
      <c r="E60" s="603"/>
      <c r="H60" s="672"/>
      <c r="I60" s="331"/>
      <c r="J60" s="343"/>
      <c r="L60" s="266"/>
      <c r="P60" s="364"/>
    </row>
    <row r="61" spans="1:16" x14ac:dyDescent="0.2">
      <c r="B61" s="340"/>
      <c r="C61" s="79"/>
      <c r="D61" s="331"/>
      <c r="J61" s="331"/>
    </row>
  </sheetData>
  <mergeCells count="17">
    <mergeCell ref="A53:B53"/>
    <mergeCell ref="A56:D56"/>
    <mergeCell ref="E56:F56"/>
    <mergeCell ref="A58:D58"/>
    <mergeCell ref="E58:F58"/>
    <mergeCell ref="A51:B51"/>
    <mergeCell ref="A2:G2"/>
    <mergeCell ref="A3:G3"/>
    <mergeCell ref="A5:B5"/>
    <mergeCell ref="A6:B6"/>
    <mergeCell ref="A18:B18"/>
    <mergeCell ref="A24:B24"/>
    <mergeCell ref="A34:B34"/>
    <mergeCell ref="A42:B42"/>
    <mergeCell ref="A46:B46"/>
    <mergeCell ref="A47:B47"/>
    <mergeCell ref="A48:B48"/>
  </mergeCells>
  <pageMargins left="0.7" right="0.7" top="0.75" bottom="0.75" header="0.3" footer="0.3"/>
  <pageSetup scale="83" orientation="portrait" r:id="rId1"/>
  <legacy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89A6C-C15A-4536-AC91-2983BF7D399B}">
  <sheetPr>
    <pageSetUpPr fitToPage="1"/>
  </sheetPr>
  <dimension ref="A1:R61"/>
  <sheetViews>
    <sheetView topLeftCell="A8" zoomScale="110" zoomScaleNormal="110" workbookViewId="0">
      <selection activeCell="G48" sqref="G48"/>
    </sheetView>
  </sheetViews>
  <sheetFormatPr defaultColWidth="9.140625" defaultRowHeight="11.25" x14ac:dyDescent="0.2"/>
  <cols>
    <col min="1" max="1" width="10.7109375" style="676" customWidth="1"/>
    <col min="2" max="2" width="37.42578125" style="676" customWidth="1"/>
    <col min="3" max="3" width="10" style="676" customWidth="1"/>
    <col min="4" max="4" width="8.85546875" style="676" customWidth="1"/>
    <col min="5" max="5" width="8.7109375" style="676" customWidth="1"/>
    <col min="6" max="6" width="10.28515625" style="676" customWidth="1"/>
    <col min="7" max="7" width="8.85546875" style="676" customWidth="1"/>
    <col min="8" max="8" width="13.85546875" style="676" customWidth="1"/>
    <col min="9" max="9" width="14.7109375" style="676" customWidth="1"/>
    <col min="10" max="10" width="14.5703125" style="676" customWidth="1"/>
    <col min="11" max="11" width="11.28515625" style="676" customWidth="1"/>
    <col min="12" max="15" width="9.140625" style="676"/>
    <col min="16" max="16" width="13" style="676" customWidth="1"/>
    <col min="17" max="16384" width="9.140625" style="676"/>
  </cols>
  <sheetData>
    <row r="1" spans="1:18" hidden="1" x14ac:dyDescent="0.2"/>
    <row r="2" spans="1:18" ht="12" x14ac:dyDescent="0.2">
      <c r="A2" s="817" t="s">
        <v>0</v>
      </c>
      <c r="B2" s="817"/>
      <c r="C2" s="817"/>
      <c r="D2" s="817"/>
      <c r="E2" s="817"/>
      <c r="F2" s="817"/>
      <c r="G2" s="817"/>
      <c r="H2" s="681"/>
    </row>
    <row r="3" spans="1:18" ht="12" x14ac:dyDescent="0.2">
      <c r="A3" s="818" t="s">
        <v>148</v>
      </c>
      <c r="B3" s="818"/>
      <c r="C3" s="818"/>
      <c r="D3" s="818"/>
      <c r="E3" s="818"/>
      <c r="F3" s="818"/>
      <c r="G3" s="818"/>
      <c r="H3" s="526" t="s">
        <v>133</v>
      </c>
      <c r="I3" s="679"/>
    </row>
    <row r="4" spans="1:18" ht="12.75" thickBot="1" x14ac:dyDescent="0.25">
      <c r="A4" s="679"/>
      <c r="B4" s="523" t="s">
        <v>37</v>
      </c>
      <c r="C4" s="679"/>
      <c r="D4" s="679"/>
      <c r="E4" s="679"/>
      <c r="F4" s="524"/>
      <c r="G4" s="679"/>
      <c r="H4" s="530" t="s">
        <v>134</v>
      </c>
    </row>
    <row r="5" spans="1:18" ht="15.75" customHeight="1" x14ac:dyDescent="0.2">
      <c r="A5" s="819" t="s">
        <v>1</v>
      </c>
      <c r="B5" s="820"/>
      <c r="C5" s="525" t="s">
        <v>2</v>
      </c>
      <c r="D5" s="525" t="s">
        <v>3</v>
      </c>
      <c r="E5" s="525" t="s">
        <v>58</v>
      </c>
      <c r="F5" s="525" t="s">
        <v>5</v>
      </c>
      <c r="G5" s="525" t="s">
        <v>6</v>
      </c>
      <c r="H5" s="538" t="s">
        <v>135</v>
      </c>
    </row>
    <row r="6" spans="1:18" ht="12" x14ac:dyDescent="0.2">
      <c r="A6" s="821" t="s">
        <v>132</v>
      </c>
      <c r="B6" s="822"/>
      <c r="C6" s="527">
        <f>SUM(C7:C17)</f>
        <v>303764.02999999997</v>
      </c>
      <c r="D6" s="528">
        <f>SUM(D7:D17)</f>
        <v>19548.2</v>
      </c>
      <c r="E6" s="528">
        <f>SUM(E7:E17)</f>
        <v>-12972.340000000002</v>
      </c>
      <c r="F6" s="528">
        <f>SUM(F7:F17)</f>
        <v>336284.56999999995</v>
      </c>
      <c r="G6" s="529">
        <f>SUM(G7:G15)</f>
        <v>0</v>
      </c>
      <c r="I6" s="273"/>
      <c r="J6" s="273"/>
      <c r="K6" s="677"/>
      <c r="P6" s="677"/>
      <c r="R6" s="677"/>
    </row>
    <row r="7" spans="1:18" ht="12" customHeight="1" x14ac:dyDescent="0.2">
      <c r="A7" s="531"/>
      <c r="B7" s="532" t="s">
        <v>23</v>
      </c>
      <c r="C7" s="533">
        <f>'October 2023'!F7</f>
        <v>230621.41999999998</v>
      </c>
      <c r="D7" s="534">
        <f>18405+518+553.2</f>
        <v>19476.2</v>
      </c>
      <c r="E7" s="535">
        <f>1000+32.22+3466.72+411.02+38.48+385+3675-24189.18</f>
        <v>-15180.740000000002</v>
      </c>
      <c r="F7" s="536">
        <f>C7+D7-E7</f>
        <v>265278.36</v>
      </c>
      <c r="G7" s="537"/>
      <c r="I7" s="677"/>
    </row>
    <row r="8" spans="1:18" ht="12" x14ac:dyDescent="0.2">
      <c r="A8" s="539"/>
      <c r="B8" s="540" t="s">
        <v>62</v>
      </c>
      <c r="C8" s="533">
        <f>'October 2023'!F8</f>
        <v>-7716.369999999999</v>
      </c>
      <c r="D8" s="541"/>
      <c r="E8" s="541">
        <v>1261.26</v>
      </c>
      <c r="F8" s="542">
        <f t="shared" ref="F8:F15" si="0">C8+D8-E8</f>
        <v>-8977.6299999999992</v>
      </c>
      <c r="G8" s="537"/>
      <c r="H8" s="543"/>
      <c r="I8" s="287"/>
    </row>
    <row r="9" spans="1:18" ht="12" hidden="1" x14ac:dyDescent="0.2">
      <c r="A9" s="539"/>
      <c r="B9" s="544" t="s">
        <v>67</v>
      </c>
      <c r="C9" s="533">
        <f>'October 2023'!F9</f>
        <v>0</v>
      </c>
      <c r="D9" s="541"/>
      <c r="E9" s="541"/>
      <c r="F9" s="536">
        <f t="shared" si="0"/>
        <v>0</v>
      </c>
      <c r="G9" s="537"/>
      <c r="H9" s="543"/>
      <c r="I9" s="289"/>
      <c r="J9" s="677"/>
    </row>
    <row r="10" spans="1:18" ht="12" hidden="1" x14ac:dyDescent="0.2">
      <c r="A10" s="539"/>
      <c r="B10" s="544" t="s">
        <v>41</v>
      </c>
      <c r="C10" s="533">
        <f>'October 2023'!F10</f>
        <v>-1.0000000002037268E-2</v>
      </c>
      <c r="D10" s="545"/>
      <c r="E10" s="545"/>
      <c r="F10" s="542">
        <f t="shared" si="0"/>
        <v>-1.0000000002037268E-2</v>
      </c>
      <c r="G10" s="537"/>
      <c r="H10" s="543"/>
      <c r="I10" s="291"/>
      <c r="J10" s="677"/>
    </row>
    <row r="11" spans="1:18" ht="12" x14ac:dyDescent="0.2">
      <c r="A11" s="539"/>
      <c r="B11" s="544" t="s">
        <v>117</v>
      </c>
      <c r="C11" s="533">
        <f>'October 2023'!F11</f>
        <v>326</v>
      </c>
      <c r="D11" s="546"/>
      <c r="E11" s="546"/>
      <c r="F11" s="536">
        <f t="shared" si="0"/>
        <v>326</v>
      </c>
      <c r="G11" s="537"/>
      <c r="H11" s="543"/>
      <c r="I11" s="293"/>
    </row>
    <row r="12" spans="1:18" ht="12" x14ac:dyDescent="0.2">
      <c r="A12" s="539"/>
      <c r="B12" s="544" t="s">
        <v>20</v>
      </c>
      <c r="C12" s="533">
        <f>'October 2023'!F12</f>
        <v>2323.3799999999997</v>
      </c>
      <c r="D12" s="547">
        <v>67.36</v>
      </c>
      <c r="E12" s="547">
        <f>499.14+448</f>
        <v>947.14</v>
      </c>
      <c r="F12" s="548">
        <f>C12+D12-E12</f>
        <v>1443.6</v>
      </c>
      <c r="G12" s="537"/>
      <c r="H12" s="543"/>
      <c r="I12" s="677"/>
    </row>
    <row r="13" spans="1:18" ht="12" x14ac:dyDescent="0.2">
      <c r="A13" s="539"/>
      <c r="B13" s="544" t="s">
        <v>22</v>
      </c>
      <c r="C13" s="533">
        <f>'October 2023'!F13</f>
        <v>308.57999999999981</v>
      </c>
      <c r="D13" s="547">
        <v>4.6399999999999997</v>
      </c>
      <c r="E13" s="547"/>
      <c r="F13" s="548">
        <f>C13+D13-E13</f>
        <v>313.2199999999998</v>
      </c>
      <c r="G13" s="537"/>
      <c r="H13" s="543"/>
      <c r="I13" s="677"/>
    </row>
    <row r="14" spans="1:18" ht="12" x14ac:dyDescent="0.2">
      <c r="A14" s="539"/>
      <c r="B14" s="544" t="s">
        <v>28</v>
      </c>
      <c r="C14" s="533">
        <f>'October 2023'!F14</f>
        <v>-155.57000000000113</v>
      </c>
      <c r="D14" s="547"/>
      <c r="E14" s="547"/>
      <c r="F14" s="542">
        <f t="shared" si="0"/>
        <v>-155.57000000000113</v>
      </c>
      <c r="G14" s="537"/>
      <c r="H14" s="543"/>
      <c r="I14" s="677"/>
    </row>
    <row r="15" spans="1:18" ht="12" x14ac:dyDescent="0.2">
      <c r="A15" s="539"/>
      <c r="B15" s="549" t="s">
        <v>42</v>
      </c>
      <c r="C15" s="533">
        <f>'October 2023'!F15</f>
        <v>56.580000000000098</v>
      </c>
      <c r="D15" s="541"/>
      <c r="E15" s="541"/>
      <c r="F15" s="550">
        <f t="shared" si="0"/>
        <v>56.580000000000098</v>
      </c>
      <c r="G15" s="537"/>
      <c r="H15" s="543"/>
      <c r="I15" s="677"/>
    </row>
    <row r="16" spans="1:18" ht="12" x14ac:dyDescent="0.2">
      <c r="A16" s="539"/>
      <c r="B16" s="549" t="s">
        <v>43</v>
      </c>
      <c r="C16" s="533">
        <f>'October 2023'!F16</f>
        <v>-1245.4300000000005</v>
      </c>
      <c r="D16" s="541"/>
      <c r="E16" s="541"/>
      <c r="F16" s="548">
        <f>C16+D16-E16</f>
        <v>-1245.4300000000005</v>
      </c>
      <c r="G16" s="537"/>
      <c r="H16" s="543"/>
      <c r="I16" s="273"/>
      <c r="P16" s="677"/>
    </row>
    <row r="17" spans="1:16" ht="12" x14ac:dyDescent="0.2">
      <c r="A17" s="658"/>
      <c r="B17" s="659" t="s">
        <v>141</v>
      </c>
      <c r="C17" s="533">
        <f>'October 2023'!F17</f>
        <v>79245.45</v>
      </c>
      <c r="D17" s="541"/>
      <c r="E17" s="541"/>
      <c r="F17" s="548">
        <f>C17+D17-E17</f>
        <v>79245.45</v>
      </c>
      <c r="G17" s="537"/>
      <c r="H17" s="543"/>
      <c r="I17" s="273"/>
      <c r="P17" s="677"/>
    </row>
    <row r="18" spans="1:16" ht="12" x14ac:dyDescent="0.2">
      <c r="A18" s="823" t="s">
        <v>53</v>
      </c>
      <c r="B18" s="823"/>
      <c r="C18" s="551">
        <f>SUM(C19:C23)</f>
        <v>-28438.210000000003</v>
      </c>
      <c r="D18" s="552">
        <f>SUM(D19:D23)</f>
        <v>0</v>
      </c>
      <c r="E18" s="552">
        <f>SUM(E19:E23)</f>
        <v>873.18000000000006</v>
      </c>
      <c r="F18" s="542">
        <f>SUM(F19:F23)</f>
        <v>-29311.390000000003</v>
      </c>
      <c r="G18" s="553">
        <f>SUM(G21+G23+G19)</f>
        <v>13500</v>
      </c>
      <c r="H18" s="543"/>
      <c r="I18" s="273"/>
      <c r="P18" s="677"/>
    </row>
    <row r="19" spans="1:16" ht="12" x14ac:dyDescent="0.2">
      <c r="A19" s="554"/>
      <c r="B19" s="555" t="s">
        <v>9</v>
      </c>
      <c r="C19" s="556">
        <f>'October 2023'!F19</f>
        <v>-1.8189894035458565E-12</v>
      </c>
      <c r="D19" s="557"/>
      <c r="E19" s="558"/>
      <c r="F19" s="559">
        <f>C19+D19-E19</f>
        <v>-1.8189894035458565E-12</v>
      </c>
      <c r="G19" s="541"/>
      <c r="H19" s="560"/>
      <c r="I19" s="677"/>
      <c r="J19" s="79"/>
    </row>
    <row r="20" spans="1:16" ht="12" x14ac:dyDescent="0.2">
      <c r="A20" s="539"/>
      <c r="B20" s="561" t="s">
        <v>8</v>
      </c>
      <c r="C20" s="556">
        <f>'October 2023'!F20</f>
        <v>-14588.65</v>
      </c>
      <c r="D20" s="547"/>
      <c r="E20" s="545">
        <v>129.36000000000001</v>
      </c>
      <c r="F20" s="559">
        <f>C20+D20-E20</f>
        <v>-14718.01</v>
      </c>
      <c r="G20" s="562"/>
      <c r="H20" s="560"/>
      <c r="I20" s="677"/>
    </row>
    <row r="21" spans="1:16" ht="12" x14ac:dyDescent="0.2">
      <c r="A21" s="539"/>
      <c r="B21" s="563" t="s">
        <v>32</v>
      </c>
      <c r="C21" s="556">
        <f>'October 2023'!F21</f>
        <v>-5806.75</v>
      </c>
      <c r="D21" s="547"/>
      <c r="E21" s="545">
        <v>258.72000000000003</v>
      </c>
      <c r="F21" s="559">
        <f t="shared" ref="F21:F23" si="1">C21+D21-E21</f>
        <v>-6065.47</v>
      </c>
      <c r="G21" s="564">
        <v>5000</v>
      </c>
      <c r="H21" s="560"/>
      <c r="I21" s="677"/>
    </row>
    <row r="22" spans="1:16" ht="12" x14ac:dyDescent="0.2">
      <c r="A22" s="539"/>
      <c r="B22" s="561" t="s">
        <v>67</v>
      </c>
      <c r="C22" s="556">
        <f>'October 2023'!F22</f>
        <v>-81.820000000000107</v>
      </c>
      <c r="D22" s="547"/>
      <c r="E22" s="547"/>
      <c r="F22" s="559">
        <f t="shared" si="1"/>
        <v>-81.820000000000107</v>
      </c>
      <c r="G22" s="564"/>
      <c r="H22" s="560"/>
      <c r="I22" s="677"/>
    </row>
    <row r="23" spans="1:16" ht="12" x14ac:dyDescent="0.2">
      <c r="A23" s="565"/>
      <c r="B23" s="566" t="s">
        <v>38</v>
      </c>
      <c r="C23" s="556">
        <f>'October 2023'!F23</f>
        <v>-7960.9900000000007</v>
      </c>
      <c r="D23" s="567"/>
      <c r="E23" s="558">
        <v>485.1</v>
      </c>
      <c r="F23" s="559">
        <f t="shared" si="1"/>
        <v>-8446.09</v>
      </c>
      <c r="G23" s="541">
        <v>8500</v>
      </c>
      <c r="H23" s="560"/>
      <c r="I23" s="677"/>
      <c r="J23" s="79"/>
    </row>
    <row r="24" spans="1:16" ht="12" x14ac:dyDescent="0.2">
      <c r="A24" s="824" t="s">
        <v>10</v>
      </c>
      <c r="B24" s="825"/>
      <c r="C24" s="551">
        <f>SUM(C25:C33)</f>
        <v>164038.91000000006</v>
      </c>
      <c r="D24" s="568">
        <f>SUM(D25:D33)</f>
        <v>0</v>
      </c>
      <c r="E24" s="569">
        <f>SUM(E25:E33)</f>
        <v>18319.8</v>
      </c>
      <c r="F24" s="569">
        <f>SUM(F25:F33)-0.08</f>
        <v>145719.05000000005</v>
      </c>
      <c r="G24" s="570"/>
      <c r="H24" s="543"/>
      <c r="I24" s="273"/>
      <c r="P24" s="677"/>
    </row>
    <row r="25" spans="1:16" ht="12" hidden="1" x14ac:dyDescent="0.2">
      <c r="A25" s="554"/>
      <c r="B25" s="571" t="s">
        <v>55</v>
      </c>
      <c r="C25" s="556">
        <f>'February 2021'!G24</f>
        <v>0</v>
      </c>
      <c r="D25" s="572"/>
      <c r="E25" s="557"/>
      <c r="F25" s="573">
        <f>C25+D25-E25</f>
        <v>0</v>
      </c>
      <c r="G25" s="534"/>
      <c r="H25" s="543"/>
      <c r="I25" s="677"/>
      <c r="J25" s="319"/>
    </row>
    <row r="26" spans="1:16" ht="12" hidden="1" x14ac:dyDescent="0.2">
      <c r="A26" s="565"/>
      <c r="B26" s="549" t="s">
        <v>70</v>
      </c>
      <c r="C26" s="556">
        <f>'January 2022'!F25</f>
        <v>7.9999999998108251E-2</v>
      </c>
      <c r="D26" s="567"/>
      <c r="E26" s="567"/>
      <c r="F26" s="573">
        <f>C26+D26-E26</f>
        <v>7.9999999998108251E-2</v>
      </c>
      <c r="G26" s="541"/>
      <c r="H26" s="543"/>
      <c r="I26" s="677"/>
      <c r="J26" s="319"/>
    </row>
    <row r="27" spans="1:16" ht="12" hidden="1" x14ac:dyDescent="0.2">
      <c r="A27" s="531"/>
      <c r="B27" s="574" t="s">
        <v>105</v>
      </c>
      <c r="C27" s="556">
        <f>'April 2023'!F26</f>
        <v>-1.9999999992592166E-2</v>
      </c>
      <c r="D27" s="558"/>
      <c r="E27" s="575"/>
      <c r="F27" s="573">
        <f>C27+D27-E27+0.02</f>
        <v>7.4078347622741347E-12</v>
      </c>
      <c r="G27" s="541"/>
      <c r="H27" s="543"/>
      <c r="I27" s="677"/>
      <c r="J27" s="677"/>
    </row>
    <row r="28" spans="1:16" ht="12" hidden="1" x14ac:dyDescent="0.2">
      <c r="A28" s="531"/>
      <c r="B28" s="574" t="s">
        <v>39</v>
      </c>
      <c r="C28" s="556">
        <f>'April 2023'!F27</f>
        <v>8.1854523159563541E-12</v>
      </c>
      <c r="D28" s="567"/>
      <c r="E28" s="558"/>
      <c r="F28" s="573">
        <f t="shared" ref="F28:F32" si="2">C28+D28-E28</f>
        <v>8.1854523159563541E-12</v>
      </c>
      <c r="G28" s="541"/>
      <c r="H28" s="543"/>
      <c r="I28" s="677"/>
      <c r="J28" s="677"/>
    </row>
    <row r="29" spans="1:16" ht="12" x14ac:dyDescent="0.2">
      <c r="A29" s="531"/>
      <c r="B29" s="574" t="s">
        <v>147</v>
      </c>
      <c r="C29" s="556">
        <f>'October 2023'!F29</f>
        <v>42487.05</v>
      </c>
      <c r="D29" s="567"/>
      <c r="E29" s="567">
        <f>3799.95</f>
        <v>3799.95</v>
      </c>
      <c r="F29" s="573">
        <f t="shared" si="2"/>
        <v>38687.100000000006</v>
      </c>
      <c r="G29" s="541"/>
      <c r="H29" s="543"/>
      <c r="I29" s="677"/>
      <c r="J29" s="677"/>
    </row>
    <row r="30" spans="1:16" ht="12" hidden="1" x14ac:dyDescent="0.2">
      <c r="A30" s="531"/>
      <c r="B30" s="574" t="s">
        <v>86</v>
      </c>
      <c r="C30" s="556">
        <f>'October 2023'!F30</f>
        <v>-1.9326762412674725E-12</v>
      </c>
      <c r="D30" s="567"/>
      <c r="E30" s="567"/>
      <c r="F30" s="573">
        <f t="shared" si="2"/>
        <v>-1.9326762412674725E-12</v>
      </c>
      <c r="G30" s="541"/>
      <c r="H30" s="543"/>
      <c r="I30" s="677"/>
      <c r="J30" s="677"/>
    </row>
    <row r="31" spans="1:16" ht="12" x14ac:dyDescent="0.2">
      <c r="A31" s="531"/>
      <c r="B31" s="574" t="s">
        <v>101</v>
      </c>
      <c r="C31" s="556">
        <f>'October 2023'!F31</f>
        <v>17741.380000000019</v>
      </c>
      <c r="D31" s="567"/>
      <c r="E31" s="567">
        <v>13971.17</v>
      </c>
      <c r="F31" s="573">
        <f t="shared" si="2"/>
        <v>3770.2100000000191</v>
      </c>
      <c r="G31" s="541"/>
      <c r="H31" s="543"/>
      <c r="I31" s="677"/>
      <c r="J31" s="677"/>
    </row>
    <row r="32" spans="1:16" ht="12" x14ac:dyDescent="0.2">
      <c r="A32" s="531"/>
      <c r="B32" s="574" t="s">
        <v>119</v>
      </c>
      <c r="C32" s="556">
        <f>'October 2023'!F32</f>
        <v>118184</v>
      </c>
      <c r="D32" s="567"/>
      <c r="E32" s="567"/>
      <c r="F32" s="573">
        <f t="shared" si="2"/>
        <v>118184</v>
      </c>
      <c r="G32" s="541"/>
      <c r="H32" s="543"/>
      <c r="I32" s="677"/>
      <c r="J32" s="677"/>
    </row>
    <row r="33" spans="1:16" ht="12" x14ac:dyDescent="0.2">
      <c r="A33" s="531"/>
      <c r="B33" s="549" t="s">
        <v>44</v>
      </c>
      <c r="C33" s="556">
        <f>'October 2023'!F33</f>
        <v>-14373.579999999998</v>
      </c>
      <c r="D33" s="567"/>
      <c r="E33" s="558">
        <v>548.67999999999995</v>
      </c>
      <c r="F33" s="573">
        <f>C33+D33-E33</f>
        <v>-14922.259999999998</v>
      </c>
      <c r="G33" s="541"/>
      <c r="H33" s="543"/>
      <c r="I33" s="677"/>
      <c r="J33" s="677"/>
    </row>
    <row r="34" spans="1:16" ht="12" x14ac:dyDescent="0.2">
      <c r="A34" s="826" t="s">
        <v>35</v>
      </c>
      <c r="B34" s="827"/>
      <c r="C34" s="551">
        <f>SUM(C35:C41)</f>
        <v>117686.47000000003</v>
      </c>
      <c r="D34" s="568">
        <f>SUM(D35:D41)</f>
        <v>2445.42</v>
      </c>
      <c r="E34" s="569">
        <f>SUM(E35:E41)</f>
        <v>2854.9800000000005</v>
      </c>
      <c r="F34" s="569">
        <f>SUM(F35:F41)</f>
        <v>117276.91</v>
      </c>
      <c r="G34" s="570">
        <f>SUM(G35:G38)</f>
        <v>35000</v>
      </c>
      <c r="H34" s="543"/>
      <c r="I34" s="273"/>
      <c r="P34" s="677"/>
    </row>
    <row r="35" spans="1:16" ht="12" x14ac:dyDescent="0.2">
      <c r="A35" s="565"/>
      <c r="B35" s="549" t="s">
        <v>146</v>
      </c>
      <c r="C35" s="556">
        <f>'October 2023'!F35</f>
        <v>49308.23</v>
      </c>
      <c r="D35" s="576"/>
      <c r="E35" s="577">
        <f>226.38+800</f>
        <v>1026.3800000000001</v>
      </c>
      <c r="F35" s="578">
        <f>C35+D35-E35</f>
        <v>48281.850000000006</v>
      </c>
      <c r="G35" s="541"/>
      <c r="H35" s="543"/>
      <c r="I35" s="677"/>
      <c r="J35" s="319"/>
    </row>
    <row r="36" spans="1:16" ht="12" x14ac:dyDescent="0.2">
      <c r="A36" s="565"/>
      <c r="B36" s="549" t="s">
        <v>90</v>
      </c>
      <c r="C36" s="556">
        <f>'October 2023'!F36</f>
        <v>19381.200000000012</v>
      </c>
      <c r="D36" s="576"/>
      <c r="E36" s="577"/>
      <c r="F36" s="578">
        <f t="shared" ref="F36:F37" si="3">C36+D36-E36</f>
        <v>19381.200000000012</v>
      </c>
      <c r="G36" s="541">
        <v>35000</v>
      </c>
      <c r="H36" s="543"/>
      <c r="I36" s="677"/>
      <c r="J36" s="319"/>
    </row>
    <row r="37" spans="1:16" ht="12" x14ac:dyDescent="0.2">
      <c r="A37" s="565"/>
      <c r="B37" s="549" t="s">
        <v>138</v>
      </c>
      <c r="C37" s="556">
        <f>'October 2023'!F37</f>
        <v>6049</v>
      </c>
      <c r="D37" s="576"/>
      <c r="E37" s="577"/>
      <c r="F37" s="578">
        <f t="shared" si="3"/>
        <v>6049</v>
      </c>
      <c r="G37" s="541"/>
      <c r="H37" s="543"/>
      <c r="I37" s="677"/>
      <c r="J37" s="319"/>
    </row>
    <row r="38" spans="1:16" ht="12" x14ac:dyDescent="0.2">
      <c r="A38" s="565"/>
      <c r="B38" s="579" t="s">
        <v>143</v>
      </c>
      <c r="C38" s="556">
        <f>'October 2023'!F38</f>
        <v>22289.75</v>
      </c>
      <c r="D38" s="576"/>
      <c r="E38" s="558">
        <v>165.74</v>
      </c>
      <c r="F38" s="578">
        <f>C38+D38-E38</f>
        <v>22124.01</v>
      </c>
      <c r="G38" s="541"/>
      <c r="H38" s="543"/>
      <c r="I38" s="293"/>
      <c r="J38" s="266"/>
      <c r="P38" s="326"/>
    </row>
    <row r="39" spans="1:16" ht="12" x14ac:dyDescent="0.2">
      <c r="A39" s="679"/>
      <c r="B39" s="679" t="s">
        <v>99</v>
      </c>
      <c r="C39" s="556">
        <f>'October 2023'!F39</f>
        <v>10550</v>
      </c>
      <c r="D39" s="580"/>
      <c r="E39" s="679"/>
      <c r="F39" s="578">
        <f>C39+D39-E39</f>
        <v>10550</v>
      </c>
      <c r="G39" s="679"/>
      <c r="H39" s="679"/>
    </row>
    <row r="40" spans="1:16" ht="12" x14ac:dyDescent="0.2">
      <c r="A40" s="679"/>
      <c r="B40" s="679" t="s">
        <v>131</v>
      </c>
      <c r="C40" s="556">
        <f>'October 2023'!F40</f>
        <v>11305.19</v>
      </c>
      <c r="D40" s="582"/>
      <c r="E40" s="679">
        <v>64.680000000000007</v>
      </c>
      <c r="F40" s="578">
        <f>C40+D40-E40</f>
        <v>11240.51</v>
      </c>
      <c r="G40" s="679"/>
      <c r="H40" s="679"/>
    </row>
    <row r="41" spans="1:16" ht="12.75" thickBot="1" x14ac:dyDescent="0.25">
      <c r="A41" s="679"/>
      <c r="B41" s="583" t="s">
        <v>111</v>
      </c>
      <c r="C41" s="556">
        <f>'October 2023'!F41</f>
        <v>-1196.9000000000005</v>
      </c>
      <c r="D41" s="584">
        <v>2445.42</v>
      </c>
      <c r="E41" s="679">
        <f>98.18+1500</f>
        <v>1598.18</v>
      </c>
      <c r="F41" s="578">
        <f>C41+D41-E41</f>
        <v>-349.66000000000054</v>
      </c>
      <c r="G41" s="679"/>
      <c r="H41" s="679"/>
    </row>
    <row r="42" spans="1:16" ht="12.75" thickBot="1" x14ac:dyDescent="0.25">
      <c r="A42" s="828" t="s">
        <v>11</v>
      </c>
      <c r="B42" s="812"/>
      <c r="C42" s="585">
        <f>C34+C24+C18+C6</f>
        <v>557051.20000000007</v>
      </c>
      <c r="D42" s="627">
        <f>SUM(D24,D18,D6,D34)</f>
        <v>21993.620000000003</v>
      </c>
      <c r="E42" s="587">
        <f>SUM(E24,E18,E6,E34)</f>
        <v>9075.619999999999</v>
      </c>
      <c r="F42" s="588">
        <f>SUM(F24,F18,F6,F34)</f>
        <v>569969.14</v>
      </c>
      <c r="G42" s="589">
        <f>SUM(G6,G18,G24,G34)</f>
        <v>48500</v>
      </c>
      <c r="H42" s="680"/>
      <c r="I42" s="677"/>
      <c r="J42" s="331"/>
    </row>
    <row r="43" spans="1:16" ht="12" hidden="1" x14ac:dyDescent="0.2">
      <c r="A43" s="682"/>
      <c r="B43" s="678"/>
      <c r="C43" s="680">
        <f>SUM(C18:C23)</f>
        <v>-56876.420000000006</v>
      </c>
      <c r="D43" s="680"/>
      <c r="E43" s="680"/>
      <c r="F43" s="680"/>
      <c r="G43" s="593"/>
      <c r="H43" s="680"/>
      <c r="K43" s="676" t="s">
        <v>12</v>
      </c>
      <c r="L43" s="676">
        <v>42.43</v>
      </c>
    </row>
    <row r="44" spans="1:16" ht="12.75" hidden="1" thickBot="1" x14ac:dyDescent="0.25">
      <c r="A44" s="594" t="s">
        <v>25</v>
      </c>
      <c r="B44" s="595"/>
      <c r="C44" s="596" t="e">
        <f>SUM(C42,#REF!)</f>
        <v>#REF!</v>
      </c>
      <c r="D44" s="597" t="e">
        <f>SUM(D42,#REF!)</f>
        <v>#REF!</v>
      </c>
      <c r="E44" s="597" t="e">
        <f>SUM(E42,#REF!)</f>
        <v>#REF!</v>
      </c>
      <c r="F44" s="598" t="e">
        <f>SUM(F42,#REF!)</f>
        <v>#REF!</v>
      </c>
      <c r="G44" s="593"/>
      <c r="H44" s="680"/>
      <c r="I44" s="331"/>
      <c r="J44" s="79">
        <v>206730.35</v>
      </c>
    </row>
    <row r="45" spans="1:16" ht="12.75" thickBot="1" x14ac:dyDescent="0.25">
      <c r="A45" s="679"/>
      <c r="B45" s="599"/>
      <c r="C45" s="680"/>
      <c r="D45" s="680"/>
      <c r="E45" s="680"/>
      <c r="F45" s="680"/>
      <c r="G45" s="593"/>
      <c r="H45" s="600"/>
      <c r="I45" s="331"/>
      <c r="J45" s="79"/>
      <c r="P45" s="677"/>
    </row>
    <row r="46" spans="1:16" ht="12.75" thickBot="1" x14ac:dyDescent="0.25">
      <c r="A46" s="829" t="s">
        <v>13</v>
      </c>
      <c r="B46" s="830"/>
      <c r="C46" s="601" t="s">
        <v>2</v>
      </c>
      <c r="D46" s="601" t="s">
        <v>3</v>
      </c>
      <c r="E46" s="601" t="s">
        <v>27</v>
      </c>
      <c r="F46" s="601" t="s">
        <v>5</v>
      </c>
      <c r="G46" s="602"/>
      <c r="H46" s="603"/>
      <c r="I46" s="343"/>
    </row>
    <row r="47" spans="1:16" ht="12.75" thickBot="1" x14ac:dyDescent="0.25">
      <c r="A47" s="815" t="s">
        <v>14</v>
      </c>
      <c r="B47" s="816"/>
      <c r="C47" s="604">
        <f>'October 2023'!F47</f>
        <v>98.399999999999991</v>
      </c>
      <c r="D47" s="605">
        <v>200</v>
      </c>
      <c r="E47" s="605">
        <v>0.48</v>
      </c>
      <c r="F47" s="606">
        <f>C47+D47-E47</f>
        <v>297.91999999999996</v>
      </c>
      <c r="G47" s="680"/>
      <c r="H47" s="679"/>
      <c r="I47" s="331"/>
      <c r="J47" s="79"/>
    </row>
    <row r="48" spans="1:16" ht="12.75" thickBot="1" x14ac:dyDescent="0.25">
      <c r="A48" s="831" t="s">
        <v>15</v>
      </c>
      <c r="B48" s="832"/>
      <c r="C48" s="604">
        <f>'October 2023'!F48</f>
        <v>7642.1600000000035</v>
      </c>
      <c r="D48" s="607">
        <v>46000</v>
      </c>
      <c r="E48" s="607">
        <v>24580.66</v>
      </c>
      <c r="F48" s="606">
        <f>C48+D48-E48-0.04</f>
        <v>29061.460000000003</v>
      </c>
      <c r="G48" s="680"/>
      <c r="H48" s="608"/>
      <c r="I48" s="331"/>
    </row>
    <row r="49" spans="1:16" ht="12.75" thickBot="1" x14ac:dyDescent="0.25">
      <c r="A49" s="609"/>
      <c r="B49" s="610" t="s">
        <v>21</v>
      </c>
      <c r="C49" s="604">
        <f>'October 2023'!F49</f>
        <v>0</v>
      </c>
      <c r="D49" s="611"/>
      <c r="E49" s="611"/>
      <c r="F49" s="606">
        <f t="shared" ref="F49:F51" si="4">C49+D49-E49</f>
        <v>0</v>
      </c>
      <c r="G49" s="680"/>
      <c r="H49" s="608"/>
      <c r="I49" s="79"/>
    </row>
    <row r="50" spans="1:16" ht="12.75" thickBot="1" x14ac:dyDescent="0.25">
      <c r="A50" s="609"/>
      <c r="B50" s="610" t="s">
        <v>40</v>
      </c>
      <c r="C50" s="604">
        <f>'October 2023'!F50</f>
        <v>-5869.4000000000042</v>
      </c>
      <c r="D50" s="612">
        <v>5367.96</v>
      </c>
      <c r="E50" s="612">
        <v>5329.07</v>
      </c>
      <c r="F50" s="606">
        <f>C50+D50-E50</f>
        <v>-5830.5100000000039</v>
      </c>
      <c r="G50" s="680"/>
      <c r="H50" s="613"/>
      <c r="I50" s="79"/>
    </row>
    <row r="51" spans="1:16" ht="12.75" thickBot="1" x14ac:dyDescent="0.25">
      <c r="A51" s="815" t="s">
        <v>16</v>
      </c>
      <c r="B51" s="816"/>
      <c r="C51" s="604">
        <f>'October 2023'!F51</f>
        <v>336036.41000000009</v>
      </c>
      <c r="D51" s="614">
        <v>38034.639999999999</v>
      </c>
      <c r="E51" s="614">
        <v>46000</v>
      </c>
      <c r="F51" s="606">
        <f t="shared" si="4"/>
        <v>328071.0500000001</v>
      </c>
      <c r="G51" s="680"/>
      <c r="H51" s="613"/>
      <c r="I51" s="79"/>
    </row>
    <row r="52" spans="1:16" ht="12.75" thickBot="1" x14ac:dyDescent="0.25">
      <c r="A52" s="615" t="s">
        <v>46</v>
      </c>
      <c r="B52" s="616"/>
      <c r="C52" s="604">
        <f>'October 2023'!F52</f>
        <v>219143.93999999992</v>
      </c>
      <c r="D52" s="576">
        <f>280.35</f>
        <v>280.35000000000002</v>
      </c>
      <c r="E52" s="576">
        <f>1000+54.73</f>
        <v>1054.73</v>
      </c>
      <c r="F52" s="606">
        <f>C52+D52-E52</f>
        <v>218369.55999999991</v>
      </c>
      <c r="G52" s="680"/>
      <c r="H52" s="613"/>
      <c r="I52" s="79"/>
    </row>
    <row r="53" spans="1:16" ht="12.75" thickBot="1" x14ac:dyDescent="0.25">
      <c r="A53" s="811"/>
      <c r="B53" s="812"/>
      <c r="C53" s="617">
        <f>SUM(C47+C48+C51+C52+C50+C49)</f>
        <v>557051.51</v>
      </c>
      <c r="D53" s="618">
        <f>SUM(D47:D52)</f>
        <v>89882.950000000012</v>
      </c>
      <c r="E53" s="618">
        <f>SUM(E47:E52)</f>
        <v>76964.939999999988</v>
      </c>
      <c r="F53" s="606">
        <f>C53+D53-E53+0.04</f>
        <v>569969.56000000006</v>
      </c>
      <c r="G53" s="680"/>
      <c r="H53" s="603"/>
      <c r="I53" s="79"/>
      <c r="J53" s="266"/>
    </row>
    <row r="54" spans="1:16" ht="12" x14ac:dyDescent="0.2">
      <c r="A54" s="682"/>
      <c r="B54" s="678"/>
      <c r="C54" s="680">
        <f>C42-C53</f>
        <v>-0.30999999993946403</v>
      </c>
      <c r="D54" s="680"/>
      <c r="E54" s="680"/>
      <c r="F54" s="680">
        <f>F42-F53</f>
        <v>-0.42000000004190952</v>
      </c>
      <c r="G54" s="679"/>
      <c r="H54" s="680"/>
      <c r="I54" s="331"/>
      <c r="J54" s="331"/>
      <c r="K54" s="266"/>
    </row>
    <row r="55" spans="1:16" ht="12" x14ac:dyDescent="0.2">
      <c r="A55" s="679"/>
      <c r="B55" s="599"/>
      <c r="C55" s="680"/>
      <c r="D55" s="680"/>
      <c r="E55" s="680"/>
      <c r="F55" s="680"/>
      <c r="G55" s="680"/>
      <c r="H55" s="680"/>
      <c r="I55" s="331"/>
    </row>
    <row r="56" spans="1:16" ht="12" x14ac:dyDescent="0.2">
      <c r="A56" s="813" t="s">
        <v>17</v>
      </c>
      <c r="B56" s="813"/>
      <c r="C56" s="813"/>
      <c r="D56" s="813"/>
      <c r="E56" s="814" t="s">
        <v>18</v>
      </c>
      <c r="F56" s="814"/>
      <c r="G56" s="680"/>
      <c r="H56" s="680"/>
      <c r="J56" s="331"/>
    </row>
    <row r="57" spans="1:16" ht="12" x14ac:dyDescent="0.2">
      <c r="A57" s="679"/>
      <c r="B57" s="679"/>
      <c r="C57" s="680"/>
      <c r="D57" s="680"/>
      <c r="E57" s="680"/>
      <c r="F57" s="680"/>
      <c r="G57" s="680"/>
      <c r="H57" s="680"/>
    </row>
    <row r="58" spans="1:16" ht="12" x14ac:dyDescent="0.2">
      <c r="A58" s="813" t="s">
        <v>19</v>
      </c>
      <c r="B58" s="813"/>
      <c r="C58" s="813"/>
      <c r="D58" s="813"/>
      <c r="E58" s="814" t="s">
        <v>18</v>
      </c>
      <c r="F58" s="814"/>
      <c r="G58" s="680"/>
      <c r="H58" s="680"/>
    </row>
    <row r="59" spans="1:16" ht="12" x14ac:dyDescent="0.2">
      <c r="A59" s="682"/>
      <c r="B59" s="678"/>
      <c r="C59" s="524"/>
      <c r="D59" s="524"/>
      <c r="E59" s="524"/>
      <c r="F59" s="613"/>
      <c r="G59" s="524"/>
      <c r="H59" s="524"/>
      <c r="I59" s="331"/>
      <c r="J59" s="79"/>
      <c r="P59" s="364"/>
    </row>
    <row r="60" spans="1:16" ht="12" x14ac:dyDescent="0.2">
      <c r="A60" s="679"/>
      <c r="B60" s="599"/>
      <c r="C60" s="603"/>
      <c r="D60" s="603"/>
      <c r="E60" s="603"/>
      <c r="H60" s="679"/>
      <c r="I60" s="331"/>
      <c r="J60" s="343"/>
      <c r="L60" s="266"/>
      <c r="P60" s="364"/>
    </row>
    <row r="61" spans="1:16" x14ac:dyDescent="0.2">
      <c r="B61" s="340"/>
      <c r="C61" s="79"/>
      <c r="D61" s="331"/>
      <c r="J61" s="331"/>
    </row>
  </sheetData>
  <mergeCells count="17">
    <mergeCell ref="A51:B51"/>
    <mergeCell ref="A2:G2"/>
    <mergeCell ref="A3:G3"/>
    <mergeCell ref="A5:B5"/>
    <mergeCell ref="A6:B6"/>
    <mergeCell ref="A18:B18"/>
    <mergeCell ref="A24:B24"/>
    <mergeCell ref="A34:B34"/>
    <mergeCell ref="A42:B42"/>
    <mergeCell ref="A46:B46"/>
    <mergeCell ref="A47:B47"/>
    <mergeCell ref="A48:B48"/>
    <mergeCell ref="A53:B53"/>
    <mergeCell ref="A56:D56"/>
    <mergeCell ref="E56:F56"/>
    <mergeCell ref="A58:D58"/>
    <mergeCell ref="E58:F58"/>
  </mergeCells>
  <pageMargins left="0.7" right="0.7" top="0.75" bottom="0.75" header="0.3" footer="0.3"/>
  <pageSetup scale="83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1552C-9A40-497E-891F-FF8CF493D686}">
  <sheetPr>
    <pageSetUpPr fitToPage="1"/>
  </sheetPr>
  <dimension ref="A1:S52"/>
  <sheetViews>
    <sheetView topLeftCell="A2" zoomScale="90" zoomScaleNormal="90" workbookViewId="0">
      <selection activeCell="I13" sqref="I13"/>
    </sheetView>
  </sheetViews>
  <sheetFormatPr defaultColWidth="9.140625" defaultRowHeight="15" x14ac:dyDescent="0.25"/>
  <cols>
    <col min="1" max="1" width="3" customWidth="1"/>
    <col min="2" max="2" width="5.7109375" customWidth="1"/>
    <col min="3" max="3" width="33.85546875" bestFit="1" customWidth="1"/>
    <col min="4" max="4" width="13.85546875" customWidth="1"/>
    <col min="5" max="5" width="12.5703125" customWidth="1"/>
    <col min="6" max="6" width="15.28515625" customWidth="1"/>
    <col min="7" max="8" width="12.5703125" customWidth="1"/>
    <col min="9" max="9" width="30.28515625" bestFit="1" customWidth="1"/>
    <col min="10" max="10" width="15.85546875" bestFit="1" customWidth="1"/>
    <col min="11" max="11" width="14.5703125" customWidth="1"/>
    <col min="12" max="12" width="11.28515625" customWidth="1"/>
    <col min="17" max="17" width="13" customWidth="1"/>
  </cols>
  <sheetData>
    <row r="1" spans="1:19" hidden="1" x14ac:dyDescent="0.25"/>
    <row r="2" spans="1:19" ht="21" x14ac:dyDescent="0.35">
      <c r="B2" s="771" t="s">
        <v>0</v>
      </c>
      <c r="C2" s="771"/>
      <c r="D2" s="771"/>
      <c r="E2" s="771"/>
      <c r="F2" s="771"/>
      <c r="G2" s="771"/>
      <c r="H2" s="771"/>
      <c r="I2" s="144"/>
    </row>
    <row r="3" spans="1:19" ht="18.75" x14ac:dyDescent="0.3">
      <c r="B3" s="772" t="s">
        <v>60</v>
      </c>
      <c r="C3" s="772"/>
      <c r="D3" s="772"/>
      <c r="E3" s="772"/>
      <c r="F3" s="772"/>
      <c r="G3" s="772"/>
      <c r="H3" s="772"/>
      <c r="I3" s="145"/>
    </row>
    <row r="4" spans="1:19" ht="15.75" thickBot="1" x14ac:dyDescent="0.3">
      <c r="B4" s="1"/>
      <c r="C4" s="51" t="s">
        <v>37</v>
      </c>
      <c r="D4" s="1"/>
      <c r="E4" s="1"/>
      <c r="F4" s="1"/>
      <c r="G4" s="2"/>
      <c r="J4" s="88"/>
    </row>
    <row r="5" spans="1:19" x14ac:dyDescent="0.25">
      <c r="B5" s="773" t="s">
        <v>1</v>
      </c>
      <c r="C5" s="774"/>
      <c r="D5" s="24" t="s">
        <v>2</v>
      </c>
      <c r="E5" s="24" t="s">
        <v>3</v>
      </c>
      <c r="F5" s="24" t="s">
        <v>58</v>
      </c>
      <c r="G5" s="24" t="s">
        <v>5</v>
      </c>
      <c r="H5" s="24" t="s">
        <v>6</v>
      </c>
      <c r="I5" s="50"/>
      <c r="J5" s="50"/>
    </row>
    <row r="6" spans="1:19" x14ac:dyDescent="0.25">
      <c r="B6" s="775" t="s">
        <v>7</v>
      </c>
      <c r="C6" s="776"/>
      <c r="D6" s="25">
        <f>SUM(D7:D16)</f>
        <v>100307.29</v>
      </c>
      <c r="E6" s="62">
        <f>SUM(E7:E16)</f>
        <v>3138.52</v>
      </c>
      <c r="F6" s="62">
        <f>SUM(F7:F16)</f>
        <v>-1091.7400000000011</v>
      </c>
      <c r="G6" s="62">
        <f>SUM(G7:G16)</f>
        <v>104537.55</v>
      </c>
      <c r="H6" s="63">
        <f>SUM(H7:H15)</f>
        <v>0</v>
      </c>
      <c r="I6" s="73"/>
      <c r="J6" s="73"/>
      <c r="K6" s="73"/>
      <c r="L6" s="23"/>
      <c r="Q6" s="23"/>
      <c r="S6" s="23"/>
    </row>
    <row r="7" spans="1:19" ht="15.75" customHeight="1" x14ac:dyDescent="0.25">
      <c r="B7" s="11"/>
      <c r="C7" s="22" t="s">
        <v>23</v>
      </c>
      <c r="D7" s="163">
        <f>'February 2020'!G7</f>
        <v>100281.51</v>
      </c>
      <c r="E7" s="67">
        <v>112.89</v>
      </c>
      <c r="F7" s="139">
        <f>800.7+1357.79-6631.31+1866.28</f>
        <v>-2606.5400000000009</v>
      </c>
      <c r="G7" s="164">
        <f>D7+E7-F7</f>
        <v>103000.94</v>
      </c>
      <c r="H7" s="165"/>
      <c r="I7" s="125"/>
      <c r="J7" s="23"/>
    </row>
    <row r="8" spans="1:19" hidden="1" x14ac:dyDescent="0.25">
      <c r="B8" s="12"/>
      <c r="C8" s="52" t="s">
        <v>30</v>
      </c>
      <c r="D8" s="163">
        <f>'February 2020'!G8</f>
        <v>0</v>
      </c>
      <c r="E8" s="166"/>
      <c r="F8" s="166"/>
      <c r="G8" s="164">
        <f t="shared" ref="G8:G16" si="0">D8+E8-F8</f>
        <v>0</v>
      </c>
      <c r="H8" s="165"/>
      <c r="I8" s="73"/>
      <c r="J8" s="71" t="s">
        <v>51</v>
      </c>
      <c r="K8" t="s">
        <v>52</v>
      </c>
    </row>
    <row r="9" spans="1:19" hidden="1" x14ac:dyDescent="0.25">
      <c r="B9" s="12"/>
      <c r="C9" s="53" t="s">
        <v>31</v>
      </c>
      <c r="D9" s="163">
        <f>'February 2020'!G9</f>
        <v>0</v>
      </c>
      <c r="E9" s="166"/>
      <c r="F9" s="166"/>
      <c r="G9" s="164">
        <f t="shared" si="0"/>
        <v>0</v>
      </c>
      <c r="H9" s="165"/>
      <c r="I9" s="73"/>
      <c r="J9" s="71">
        <v>3231.47</v>
      </c>
      <c r="K9" s="23"/>
    </row>
    <row r="10" spans="1:19" x14ac:dyDescent="0.25">
      <c r="B10" s="12"/>
      <c r="C10" s="53" t="s">
        <v>41</v>
      </c>
      <c r="D10" s="140">
        <f>'February 2020'!G10</f>
        <v>-1814.1599999999999</v>
      </c>
      <c r="E10" s="152">
        <v>830.03</v>
      </c>
      <c r="F10" s="152">
        <v>480.95</v>
      </c>
      <c r="G10" s="153">
        <f t="shared" si="0"/>
        <v>-1465.08</v>
      </c>
      <c r="H10" s="165"/>
      <c r="I10" s="73"/>
      <c r="J10" s="93"/>
      <c r="K10" s="23"/>
    </row>
    <row r="11" spans="1:19" hidden="1" x14ac:dyDescent="0.25">
      <c r="B11" s="12"/>
      <c r="C11" s="53" t="s">
        <v>29</v>
      </c>
      <c r="D11" s="163">
        <f>'February 2020'!G11</f>
        <v>0</v>
      </c>
      <c r="E11" s="70"/>
      <c r="F11" s="70"/>
      <c r="G11" s="164">
        <f t="shared" si="0"/>
        <v>0</v>
      </c>
      <c r="H11" s="165"/>
      <c r="I11" s="73"/>
      <c r="J11" s="93"/>
    </row>
    <row r="12" spans="1:19" x14ac:dyDescent="0.25">
      <c r="B12" s="12"/>
      <c r="C12" s="53" t="s">
        <v>20</v>
      </c>
      <c r="D12" s="140">
        <f>'February 2020'!G12</f>
        <v>2530.84</v>
      </c>
      <c r="E12" s="152">
        <v>2060.39</v>
      </c>
      <c r="F12" s="152">
        <f>206.02+73.08</f>
        <v>279.10000000000002</v>
      </c>
      <c r="G12" s="153">
        <f t="shared" si="0"/>
        <v>4312.1299999999992</v>
      </c>
      <c r="H12" s="165"/>
      <c r="I12" s="73"/>
      <c r="J12" s="23"/>
    </row>
    <row r="13" spans="1:19" x14ac:dyDescent="0.25">
      <c r="B13" s="12"/>
      <c r="C13" s="53" t="s">
        <v>22</v>
      </c>
      <c r="D13" s="140">
        <f>'February 2020'!G13</f>
        <v>169.51999999999998</v>
      </c>
      <c r="E13" s="152">
        <v>135.21</v>
      </c>
      <c r="F13" s="167"/>
      <c r="G13" s="153">
        <f t="shared" si="0"/>
        <v>304.73</v>
      </c>
      <c r="H13" s="165"/>
      <c r="I13" s="73"/>
      <c r="J13" s="23"/>
    </row>
    <row r="14" spans="1:19" x14ac:dyDescent="0.25">
      <c r="B14" s="12"/>
      <c r="C14" s="53" t="s">
        <v>28</v>
      </c>
      <c r="D14" s="140">
        <f>'February 2020'!G14</f>
        <v>-803.07000000000016</v>
      </c>
      <c r="E14" s="167"/>
      <c r="F14" s="152">
        <v>707.42</v>
      </c>
      <c r="G14" s="153">
        <f t="shared" si="0"/>
        <v>-1510.4900000000002</v>
      </c>
      <c r="H14" s="165"/>
      <c r="I14" s="73"/>
      <c r="J14" s="23"/>
    </row>
    <row r="15" spans="1:19" x14ac:dyDescent="0.25">
      <c r="A15" t="s">
        <v>26</v>
      </c>
      <c r="B15" s="12"/>
      <c r="C15" s="18" t="s">
        <v>42</v>
      </c>
      <c r="D15" s="140">
        <f>'February 2020'!G15</f>
        <v>34.660000000000025</v>
      </c>
      <c r="E15" s="166"/>
      <c r="F15" s="166"/>
      <c r="G15" s="153">
        <f t="shared" si="0"/>
        <v>34.660000000000025</v>
      </c>
      <c r="H15" s="165"/>
      <c r="I15" s="73"/>
      <c r="J15" s="23"/>
    </row>
    <row r="16" spans="1:19" x14ac:dyDescent="0.25">
      <c r="B16" s="12"/>
      <c r="C16" s="18" t="s">
        <v>43</v>
      </c>
      <c r="D16" s="140">
        <f>'February 2020'!G16</f>
        <v>-92.010000000000218</v>
      </c>
      <c r="E16" s="166"/>
      <c r="F16" s="154">
        <v>47.33</v>
      </c>
      <c r="G16" s="153">
        <f t="shared" si="0"/>
        <v>-139.3400000000002</v>
      </c>
      <c r="H16" s="165"/>
      <c r="I16" s="73"/>
      <c r="J16" s="73"/>
      <c r="Q16" s="23"/>
    </row>
    <row r="17" spans="2:17" x14ac:dyDescent="0.25">
      <c r="B17" s="777" t="s">
        <v>53</v>
      </c>
      <c r="C17" s="778"/>
      <c r="D17" s="141">
        <f>SUM(D18:D21)</f>
        <v>-8921.630000000001</v>
      </c>
      <c r="E17" s="168">
        <f>SUM(E18:E21)</f>
        <v>0</v>
      </c>
      <c r="F17" s="107">
        <f>SUM(F18:F21)</f>
        <v>6204.15</v>
      </c>
      <c r="G17" s="108">
        <f>SUM(G21,G20,G19,G18)</f>
        <v>-15125.78</v>
      </c>
      <c r="H17" s="169"/>
      <c r="I17" s="73"/>
      <c r="J17" s="73"/>
      <c r="Q17" s="23"/>
    </row>
    <row r="18" spans="2:17" x14ac:dyDescent="0.25">
      <c r="B18" s="13"/>
      <c r="C18" s="40" t="s">
        <v>9</v>
      </c>
      <c r="D18" s="140">
        <f>'February 2020'!G18</f>
        <v>-4227.8100000000004</v>
      </c>
      <c r="E18" s="150"/>
      <c r="F18" s="134">
        <v>4632.96</v>
      </c>
      <c r="G18" s="137">
        <f>D18+E18-F18</f>
        <v>-8860.77</v>
      </c>
      <c r="H18" s="166"/>
      <c r="I18" s="73"/>
      <c r="J18" s="23"/>
      <c r="K18" s="4"/>
    </row>
    <row r="19" spans="2:17" x14ac:dyDescent="0.25">
      <c r="B19" s="12"/>
      <c r="C19" s="55" t="s">
        <v>8</v>
      </c>
      <c r="D19" s="140">
        <f>'February 2020'!G19</f>
        <v>-3670.09</v>
      </c>
      <c r="E19" s="167"/>
      <c r="F19" s="152">
        <v>942.74</v>
      </c>
      <c r="G19" s="137">
        <f>D19+E19-F19</f>
        <v>-4612.83</v>
      </c>
      <c r="H19" s="170"/>
      <c r="I19" s="73"/>
      <c r="J19" s="23"/>
    </row>
    <row r="20" spans="2:17" x14ac:dyDescent="0.25">
      <c r="B20" s="12"/>
      <c r="C20" s="55" t="s">
        <v>32</v>
      </c>
      <c r="D20" s="140">
        <f>'February 2020'!G20</f>
        <v>-438.74</v>
      </c>
      <c r="E20" s="167"/>
      <c r="F20" s="152">
        <v>58.46</v>
      </c>
      <c r="G20" s="137">
        <f t="shared" ref="G20:G21" si="1">D20+E20-F20</f>
        <v>-497.2</v>
      </c>
      <c r="H20" s="171"/>
      <c r="I20" s="73"/>
      <c r="J20" s="23"/>
    </row>
    <row r="21" spans="2:17" x14ac:dyDescent="0.25">
      <c r="B21" s="10"/>
      <c r="C21" s="41" t="s">
        <v>38</v>
      </c>
      <c r="D21" s="140">
        <f>'February 2020'!G21</f>
        <v>-584.99</v>
      </c>
      <c r="E21" s="151"/>
      <c r="F21" s="134">
        <v>569.99</v>
      </c>
      <c r="G21" s="137">
        <f t="shared" si="1"/>
        <v>-1154.98</v>
      </c>
      <c r="H21" s="166"/>
      <c r="I21" s="73"/>
      <c r="J21" s="23"/>
      <c r="K21" s="4"/>
    </row>
    <row r="22" spans="2:17" x14ac:dyDescent="0.25">
      <c r="B22" s="775" t="s">
        <v>10</v>
      </c>
      <c r="C22" s="776"/>
      <c r="D22" s="141">
        <f>SUM(D23:D27)</f>
        <v>175359.27</v>
      </c>
      <c r="E22" s="172">
        <f>SUM(E23:E27)</f>
        <v>0</v>
      </c>
      <c r="F22" s="111">
        <f>SUM(F23:F27)</f>
        <v>6826.22</v>
      </c>
      <c r="G22" s="111">
        <f>SUM(G23:G27)</f>
        <v>168533.05000000002</v>
      </c>
      <c r="H22" s="173">
        <f>SUM(H27:H31)</f>
        <v>0</v>
      </c>
      <c r="I22" s="73"/>
      <c r="J22" s="73"/>
      <c r="Q22" s="23"/>
    </row>
    <row r="23" spans="2:17" x14ac:dyDescent="0.25">
      <c r="B23" s="13"/>
      <c r="C23" s="37" t="s">
        <v>55</v>
      </c>
      <c r="D23" s="140">
        <f>'February 2020'!G23</f>
        <v>18710</v>
      </c>
      <c r="E23" s="150"/>
      <c r="F23" s="150"/>
      <c r="G23" s="136">
        <f>D23+E23-F23</f>
        <v>18710</v>
      </c>
      <c r="H23" s="139"/>
      <c r="I23" s="73"/>
      <c r="J23" s="23"/>
      <c r="K23" s="5"/>
    </row>
    <row r="24" spans="2:17" x14ac:dyDescent="0.25">
      <c r="B24" s="11"/>
      <c r="C24" s="19" t="s">
        <v>34</v>
      </c>
      <c r="D24" s="140">
        <f>'February 2020'!G24</f>
        <v>54399.990000000005</v>
      </c>
      <c r="E24" s="151"/>
      <c r="F24" s="134">
        <v>6826.22</v>
      </c>
      <c r="G24" s="136">
        <f t="shared" ref="G24:G27" si="2">D24+E24-F24</f>
        <v>47573.770000000004</v>
      </c>
      <c r="H24" s="166"/>
      <c r="I24" s="74"/>
      <c r="J24" s="23"/>
      <c r="K24" s="23"/>
    </row>
    <row r="25" spans="2:17" x14ac:dyDescent="0.25">
      <c r="B25" s="11"/>
      <c r="C25" s="19" t="s">
        <v>39</v>
      </c>
      <c r="D25" s="140">
        <f>'February 2020'!G25</f>
        <v>102500</v>
      </c>
      <c r="E25" s="151"/>
      <c r="F25" s="151"/>
      <c r="G25" s="136">
        <f t="shared" si="2"/>
        <v>102500</v>
      </c>
      <c r="H25" s="166"/>
      <c r="I25" s="74"/>
      <c r="J25" s="23"/>
      <c r="K25" s="23"/>
    </row>
    <row r="26" spans="2:17" x14ac:dyDescent="0.25">
      <c r="B26" s="11"/>
      <c r="C26" s="19" t="s">
        <v>49</v>
      </c>
      <c r="D26" s="163">
        <f>'February 2020'!G26</f>
        <v>0</v>
      </c>
      <c r="E26" s="151"/>
      <c r="F26" s="151"/>
      <c r="G26" s="150">
        <f t="shared" si="2"/>
        <v>0</v>
      </c>
      <c r="H26" s="166"/>
      <c r="I26" s="74"/>
      <c r="J26" s="23"/>
      <c r="K26" s="23"/>
    </row>
    <row r="27" spans="2:17" x14ac:dyDescent="0.25">
      <c r="B27" s="10"/>
      <c r="C27" s="18" t="s">
        <v>44</v>
      </c>
      <c r="D27" s="140">
        <f>'February 2020'!G27</f>
        <v>-250.72</v>
      </c>
      <c r="E27" s="151"/>
      <c r="F27" s="151"/>
      <c r="G27" s="136">
        <f t="shared" si="2"/>
        <v>-250.72</v>
      </c>
      <c r="H27" s="166"/>
      <c r="I27" s="73"/>
      <c r="J27" s="23"/>
      <c r="K27" s="5"/>
    </row>
    <row r="28" spans="2:17" x14ac:dyDescent="0.25">
      <c r="B28" s="775" t="s">
        <v>35</v>
      </c>
      <c r="C28" s="776"/>
      <c r="D28" s="141">
        <f>SUM(D29:D32)</f>
        <v>42546.11</v>
      </c>
      <c r="E28" s="172">
        <f>SUM(E29:E32)</f>
        <v>0</v>
      </c>
      <c r="F28" s="172">
        <f>SUM(F29:F32)</f>
        <v>1401.03</v>
      </c>
      <c r="G28" s="111">
        <f>SUM(G29:G32)</f>
        <v>41145.08</v>
      </c>
      <c r="H28" s="173">
        <f t="shared" ref="H28" si="3">SUM(H29:H31)</f>
        <v>0</v>
      </c>
      <c r="I28" s="73"/>
      <c r="J28" s="73"/>
      <c r="Q28" s="23"/>
    </row>
    <row r="29" spans="2:17" x14ac:dyDescent="0.25">
      <c r="B29" s="10"/>
      <c r="C29" s="18" t="s">
        <v>48</v>
      </c>
      <c r="D29" s="140">
        <f>'February 2020'!G29</f>
        <v>27477.38</v>
      </c>
      <c r="E29" s="174"/>
      <c r="F29" s="113"/>
      <c r="G29" s="135">
        <f t="shared" ref="G29:G32" si="4">D29+E29-F29</f>
        <v>27477.38</v>
      </c>
      <c r="H29" s="166"/>
      <c r="I29" s="73"/>
      <c r="J29" s="23"/>
      <c r="K29" s="5"/>
    </row>
    <row r="30" spans="2:17" x14ac:dyDescent="0.25">
      <c r="B30" s="10"/>
      <c r="C30" s="20" t="s">
        <v>45</v>
      </c>
      <c r="D30" s="140">
        <f>'February 2020'!G30</f>
        <v>15068.73</v>
      </c>
      <c r="E30" s="174"/>
      <c r="F30" s="134">
        <v>1401.03</v>
      </c>
      <c r="G30" s="135">
        <f t="shared" si="4"/>
        <v>13667.699999999999</v>
      </c>
      <c r="H30" s="166"/>
      <c r="I30" s="73"/>
      <c r="J30" s="93"/>
      <c r="K30" s="3"/>
      <c r="Q30" s="148"/>
    </row>
    <row r="31" spans="2:17" x14ac:dyDescent="0.25">
      <c r="B31" s="10"/>
      <c r="C31" s="21" t="s">
        <v>33</v>
      </c>
      <c r="D31" s="140">
        <f>'February 2020'!G31</f>
        <v>0</v>
      </c>
      <c r="E31" s="174"/>
      <c r="F31" s="151"/>
      <c r="G31" s="134">
        <f t="shared" si="4"/>
        <v>0</v>
      </c>
      <c r="H31" s="166"/>
      <c r="I31" s="73"/>
      <c r="J31" s="23"/>
      <c r="K31" s="4"/>
      <c r="Q31" s="149"/>
    </row>
    <row r="32" spans="2:17" ht="15.75" thickBot="1" x14ac:dyDescent="0.3">
      <c r="C32" s="104" t="s">
        <v>47</v>
      </c>
      <c r="D32" s="163">
        <f>'February 2020'!G32</f>
        <v>0</v>
      </c>
      <c r="E32" s="174"/>
      <c r="F32" s="151"/>
      <c r="G32" s="151">
        <f t="shared" si="4"/>
        <v>0</v>
      </c>
      <c r="H32" s="166"/>
      <c r="I32" s="73"/>
      <c r="J32" s="23"/>
      <c r="K32" s="4"/>
      <c r="Q32" s="149"/>
    </row>
    <row r="33" spans="2:17" ht="15.75" thickBot="1" x14ac:dyDescent="0.3">
      <c r="B33" s="779" t="s">
        <v>11</v>
      </c>
      <c r="C33" s="766"/>
      <c r="D33" s="38">
        <f>D6+D17+D22+D28</f>
        <v>309291.03999999998</v>
      </c>
      <c r="E33" s="47">
        <f>SUM(E22,E17,E6,E28)</f>
        <v>3138.52</v>
      </c>
      <c r="F33" s="43">
        <f>SUM(F22,F17,F6,F28)</f>
        <v>13339.659999999998</v>
      </c>
      <c r="G33" s="44">
        <f>SUM(G22,G17,G6,G28)</f>
        <v>299089.90000000002</v>
      </c>
      <c r="H33" s="78">
        <f>SUM(H6,H16,H22,H28)</f>
        <v>0</v>
      </c>
      <c r="I33" s="23"/>
      <c r="J33" s="23"/>
      <c r="K33" s="6"/>
    </row>
    <row r="34" spans="2:17" hidden="1" x14ac:dyDescent="0.25">
      <c r="B34" s="142"/>
      <c r="C34" s="143"/>
      <c r="D34" s="23">
        <f>SUM(D17:D21)</f>
        <v>-17843.260000000006</v>
      </c>
      <c r="E34" s="23"/>
      <c r="F34" s="23"/>
      <c r="G34" s="23"/>
      <c r="H34" s="49"/>
      <c r="I34" s="23"/>
      <c r="L34" t="s">
        <v>12</v>
      </c>
      <c r="M34">
        <v>42.43</v>
      </c>
    </row>
    <row r="35" spans="2:17" ht="15.75" hidden="1" thickBot="1" x14ac:dyDescent="0.3">
      <c r="B35" s="9" t="s">
        <v>25</v>
      </c>
      <c r="C35" s="15"/>
      <c r="D35" s="33" t="e">
        <f>SUM(D33,#REF!)</f>
        <v>#REF!</v>
      </c>
      <c r="E35" s="34" t="e">
        <f>SUM(E33,#REF!)</f>
        <v>#REF!</v>
      </c>
      <c r="F35" s="34" t="e">
        <f>SUM(F33,#REF!)</f>
        <v>#REF!</v>
      </c>
      <c r="G35" s="35" t="e">
        <f>SUM(G33,#REF!)</f>
        <v>#REF!</v>
      </c>
      <c r="H35" s="49"/>
      <c r="I35" s="23"/>
      <c r="J35" s="6"/>
      <c r="K35" s="4">
        <v>206730.35</v>
      </c>
    </row>
    <row r="36" spans="2:17" ht="15.75" thickBot="1" x14ac:dyDescent="0.3">
      <c r="C36" s="7"/>
      <c r="D36" s="23"/>
      <c r="E36" s="23"/>
      <c r="F36" s="23"/>
      <c r="G36" s="23"/>
      <c r="H36" s="49"/>
      <c r="I36" s="64"/>
      <c r="J36" s="6"/>
      <c r="K36" s="4"/>
      <c r="Q36" s="23"/>
    </row>
    <row r="37" spans="2:17" ht="15.75" thickBot="1" x14ac:dyDescent="0.3">
      <c r="B37" s="780" t="s">
        <v>13</v>
      </c>
      <c r="C37" s="781"/>
      <c r="D37" s="31" t="s">
        <v>2</v>
      </c>
      <c r="E37" s="31" t="s">
        <v>3</v>
      </c>
      <c r="F37" s="31" t="s">
        <v>24</v>
      </c>
      <c r="G37" s="31" t="s">
        <v>27</v>
      </c>
      <c r="H37" s="31" t="s">
        <v>5</v>
      </c>
      <c r="I37" s="50"/>
      <c r="J37" s="6"/>
      <c r="K37" s="8"/>
    </row>
    <row r="38" spans="2:17" ht="15.75" thickBot="1" x14ac:dyDescent="0.3">
      <c r="B38" s="769" t="s">
        <v>14</v>
      </c>
      <c r="C38" s="770"/>
      <c r="D38" s="161">
        <f>'February 2020'!H38</f>
        <v>102.81</v>
      </c>
      <c r="E38" s="162">
        <v>150</v>
      </c>
      <c r="F38" s="162"/>
      <c r="G38" s="162">
        <v>30</v>
      </c>
      <c r="H38" s="114">
        <f t="shared" ref="H38:H40" si="5">D38+E38+F38-G38</f>
        <v>222.81</v>
      </c>
      <c r="I38" s="23"/>
      <c r="K38" s="6"/>
      <c r="L38" s="4"/>
    </row>
    <row r="39" spans="2:17" ht="15.75" thickBot="1" x14ac:dyDescent="0.3">
      <c r="B39" s="782" t="s">
        <v>15</v>
      </c>
      <c r="C39" s="783"/>
      <c r="D39" s="161">
        <f>'February 2020'!H39</f>
        <v>1331.3200000000106</v>
      </c>
      <c r="E39" s="115"/>
      <c r="F39" s="115">
        <v>42000</v>
      </c>
      <c r="G39" s="115">
        <v>16278.68</v>
      </c>
      <c r="H39" s="155">
        <f>D39+E39+F39-G39</f>
        <v>27052.640000000007</v>
      </c>
      <c r="I39" s="23"/>
      <c r="J39" s="65"/>
      <c r="K39" s="6"/>
    </row>
    <row r="40" spans="2:17" ht="15.75" thickBot="1" x14ac:dyDescent="0.3">
      <c r="B40" s="14"/>
      <c r="C40" s="16" t="s">
        <v>21</v>
      </c>
      <c r="D40" s="32">
        <f>'February 2020'!H40</f>
        <v>0</v>
      </c>
      <c r="E40" s="56"/>
      <c r="F40" s="56"/>
      <c r="G40" s="56"/>
      <c r="H40" s="156">
        <f t="shared" si="5"/>
        <v>0</v>
      </c>
      <c r="I40" s="23"/>
      <c r="J40" s="65"/>
      <c r="K40" s="4"/>
    </row>
    <row r="41" spans="2:17" ht="15.75" thickBot="1" x14ac:dyDescent="0.3">
      <c r="B41" s="14"/>
      <c r="C41" s="16" t="s">
        <v>40</v>
      </c>
      <c r="D41" s="32">
        <f>'February 2020'!H41</f>
        <v>-302.54000000000082</v>
      </c>
      <c r="E41" s="56">
        <v>75.17</v>
      </c>
      <c r="F41" s="56"/>
      <c r="G41" s="160">
        <v>2849.1</v>
      </c>
      <c r="H41" s="157">
        <f>D41+E41+F41-G41</f>
        <v>-3076.4700000000007</v>
      </c>
      <c r="I41" s="23"/>
      <c r="J41" s="4"/>
      <c r="K41" s="4"/>
    </row>
    <row r="42" spans="2:17" ht="15.75" thickBot="1" x14ac:dyDescent="0.3">
      <c r="B42" s="769" t="s">
        <v>16</v>
      </c>
      <c r="C42" s="770"/>
      <c r="D42" s="32">
        <f>'February 2020'!H42</f>
        <v>149306.49000000008</v>
      </c>
      <c r="E42" s="61">
        <f>9681.24</f>
        <v>9681.24</v>
      </c>
      <c r="F42" s="61"/>
      <c r="G42" s="61">
        <v>42000</v>
      </c>
      <c r="H42" s="158">
        <f>D42+E42-F42-G42</f>
        <v>116987.73000000007</v>
      </c>
      <c r="I42" s="23"/>
      <c r="J42" s="4"/>
      <c r="K42" s="4"/>
    </row>
    <row r="43" spans="2:17" ht="15.75" thickBot="1" x14ac:dyDescent="0.3">
      <c r="B43" s="80" t="s">
        <v>46</v>
      </c>
      <c r="C43" s="81"/>
      <c r="D43" s="32">
        <f>'February 2020'!H43</f>
        <v>158852.97</v>
      </c>
      <c r="E43" s="28">
        <v>50.27</v>
      </c>
      <c r="F43" s="28"/>
      <c r="G43" s="28">
        <v>1000</v>
      </c>
      <c r="H43" s="159">
        <f>D43+E43+F43-G43</f>
        <v>157903.24</v>
      </c>
      <c r="I43" s="23"/>
      <c r="J43" s="4"/>
      <c r="K43" s="4"/>
    </row>
    <row r="44" spans="2:17" ht="15.75" thickBot="1" x14ac:dyDescent="0.3">
      <c r="B44" s="765"/>
      <c r="C44" s="766"/>
      <c r="D44" s="29">
        <f>SUM(D38+D39+D42+D43+D41)</f>
        <v>309291.0500000001</v>
      </c>
      <c r="E44" s="46">
        <f>SUM(E38:E43)</f>
        <v>9956.68</v>
      </c>
      <c r="F44" s="30">
        <f>SUM(F39:F43)</f>
        <v>42000</v>
      </c>
      <c r="G44" s="42">
        <f>SUM(G38:G43)</f>
        <v>62157.78</v>
      </c>
      <c r="H44" s="45">
        <f>SUM(H38+H39+H42+H40+H43+H41)</f>
        <v>299089.95000000007</v>
      </c>
      <c r="I44" s="23"/>
      <c r="J44" s="6"/>
      <c r="K44" s="4"/>
      <c r="L44" s="3"/>
    </row>
    <row r="45" spans="2:17" x14ac:dyDescent="0.25">
      <c r="B45" s="142"/>
      <c r="C45" s="143"/>
      <c r="D45" s="23">
        <f>D33-D44</f>
        <v>-1.0000000125728548E-2</v>
      </c>
      <c r="E45" s="23"/>
      <c r="F45" s="23"/>
      <c r="G45" s="23"/>
      <c r="H45" s="23">
        <f>G33-H44</f>
        <v>-5.0000000046566129E-2</v>
      </c>
      <c r="I45" s="23"/>
      <c r="J45" s="6"/>
      <c r="K45" s="6"/>
      <c r="L45" s="3"/>
    </row>
    <row r="46" spans="2:17" x14ac:dyDescent="0.25">
      <c r="C46" s="7"/>
      <c r="D46" s="23"/>
      <c r="E46" s="23"/>
      <c r="F46" s="23"/>
      <c r="G46" s="23"/>
      <c r="H46" s="23"/>
      <c r="I46" s="23"/>
      <c r="J46" s="6"/>
    </row>
    <row r="47" spans="2:17" ht="15.75" x14ac:dyDescent="0.25">
      <c r="B47" s="767" t="s">
        <v>17</v>
      </c>
      <c r="C47" s="767"/>
      <c r="D47" s="767"/>
      <c r="E47" s="767"/>
      <c r="F47" s="768" t="s">
        <v>18</v>
      </c>
      <c r="G47" s="768"/>
      <c r="H47" s="23"/>
      <c r="I47" s="23"/>
      <c r="K47" s="6"/>
    </row>
    <row r="48" spans="2:17" ht="15.75" x14ac:dyDescent="0.25">
      <c r="B48" s="146"/>
      <c r="C48" s="146"/>
      <c r="D48" s="147"/>
      <c r="E48" s="147"/>
      <c r="F48" s="147"/>
      <c r="G48" s="147"/>
      <c r="H48" s="23"/>
      <c r="I48" s="23"/>
    </row>
    <row r="49" spans="2:17" ht="15.75" x14ac:dyDescent="0.25">
      <c r="B49" s="767" t="s">
        <v>19</v>
      </c>
      <c r="C49" s="767"/>
      <c r="D49" s="767"/>
      <c r="E49" s="767"/>
      <c r="F49" s="768" t="s">
        <v>18</v>
      </c>
      <c r="G49" s="768"/>
      <c r="H49" s="23"/>
      <c r="I49" s="23"/>
    </row>
    <row r="50" spans="2:17" x14ac:dyDescent="0.25">
      <c r="B50" s="142"/>
      <c r="C50" s="143"/>
      <c r="D50" s="3"/>
      <c r="E50" s="3"/>
      <c r="F50" s="3"/>
      <c r="G50" s="4"/>
      <c r="H50" s="3"/>
      <c r="I50" s="3"/>
      <c r="J50" s="6"/>
      <c r="K50" s="4"/>
      <c r="Q50" s="17"/>
    </row>
    <row r="51" spans="2:17" x14ac:dyDescent="0.25">
      <c r="C51" s="7"/>
      <c r="D51" s="6"/>
      <c r="E51" s="6"/>
      <c r="F51" s="6"/>
      <c r="G51" s="6"/>
      <c r="J51" s="6"/>
      <c r="K51" s="8"/>
      <c r="M51" s="3"/>
      <c r="Q51" s="17"/>
    </row>
    <row r="52" spans="2:17" x14ac:dyDescent="0.25">
      <c r="C52" s="7"/>
      <c r="D52" s="4"/>
      <c r="E52" s="6"/>
      <c r="G52" s="6"/>
      <c r="K52" s="6"/>
    </row>
  </sheetData>
  <mergeCells count="17">
    <mergeCell ref="B42:C42"/>
    <mergeCell ref="B2:H2"/>
    <mergeCell ref="B3:H3"/>
    <mergeCell ref="B5:C5"/>
    <mergeCell ref="B6:C6"/>
    <mergeCell ref="B17:C17"/>
    <mergeCell ref="B22:C22"/>
    <mergeCell ref="B28:C28"/>
    <mergeCell ref="B33:C33"/>
    <mergeCell ref="B37:C37"/>
    <mergeCell ref="B38:C38"/>
    <mergeCell ref="B39:C39"/>
    <mergeCell ref="B44:C44"/>
    <mergeCell ref="B47:E47"/>
    <mergeCell ref="F47:G47"/>
    <mergeCell ref="B49:E49"/>
    <mergeCell ref="F49:G49"/>
  </mergeCells>
  <pageMargins left="0.7" right="0.7" top="0.75" bottom="0.75" header="0.3" footer="0.3"/>
  <pageSetup scale="82" orientation="portrait" r:id="rId1"/>
  <legacy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5268C-DBBD-4973-856A-2BB6E1B5FCDB}">
  <sheetPr>
    <pageSetUpPr fitToPage="1"/>
  </sheetPr>
  <dimension ref="A1:R62"/>
  <sheetViews>
    <sheetView topLeftCell="A23" zoomScale="110" zoomScaleNormal="110" workbookViewId="0">
      <selection activeCell="I20" sqref="I20"/>
    </sheetView>
  </sheetViews>
  <sheetFormatPr defaultColWidth="9.140625" defaultRowHeight="11.25" x14ac:dyDescent="0.2"/>
  <cols>
    <col min="1" max="1" width="10.7109375" style="683" customWidth="1"/>
    <col min="2" max="2" width="37.42578125" style="683" customWidth="1"/>
    <col min="3" max="3" width="10" style="683" customWidth="1"/>
    <col min="4" max="4" width="8.85546875" style="683" customWidth="1"/>
    <col min="5" max="5" width="9.28515625" style="683" customWidth="1"/>
    <col min="6" max="6" width="10.28515625" style="683" customWidth="1"/>
    <col min="7" max="7" width="8.85546875" style="683" customWidth="1"/>
    <col min="8" max="8" width="13.85546875" style="683" customWidth="1"/>
    <col min="9" max="9" width="14.7109375" style="683" customWidth="1"/>
    <col min="10" max="10" width="14.5703125" style="683" customWidth="1"/>
    <col min="11" max="11" width="11.28515625" style="683" customWidth="1"/>
    <col min="12" max="15" width="9.140625" style="683"/>
    <col min="16" max="16" width="13" style="683" customWidth="1"/>
    <col min="17" max="16384" width="9.140625" style="683"/>
  </cols>
  <sheetData>
    <row r="1" spans="1:18" hidden="1" x14ac:dyDescent="0.2"/>
    <row r="2" spans="1:18" ht="12" x14ac:dyDescent="0.2">
      <c r="A2" s="817" t="s">
        <v>0</v>
      </c>
      <c r="B2" s="817"/>
      <c r="C2" s="817"/>
      <c r="D2" s="817"/>
      <c r="E2" s="817"/>
      <c r="F2" s="817"/>
      <c r="G2" s="817"/>
      <c r="H2" s="685"/>
    </row>
    <row r="3" spans="1:18" ht="12" x14ac:dyDescent="0.2">
      <c r="A3" s="818" t="s">
        <v>149</v>
      </c>
      <c r="B3" s="818"/>
      <c r="C3" s="818"/>
      <c r="D3" s="818"/>
      <c r="E3" s="818"/>
      <c r="F3" s="818"/>
      <c r="G3" s="818"/>
      <c r="H3" s="526" t="s">
        <v>133</v>
      </c>
      <c r="I3" s="688"/>
    </row>
    <row r="4" spans="1:18" ht="12.75" thickBot="1" x14ac:dyDescent="0.25">
      <c r="A4" s="688"/>
      <c r="B4" s="523" t="s">
        <v>37</v>
      </c>
      <c r="C4" s="688"/>
      <c r="D4" s="688"/>
      <c r="E4" s="688"/>
      <c r="F4" s="524"/>
      <c r="G4" s="688"/>
      <c r="H4" s="530" t="s">
        <v>134</v>
      </c>
    </row>
    <row r="5" spans="1:18" ht="15.75" customHeight="1" x14ac:dyDescent="0.2">
      <c r="A5" s="819" t="s">
        <v>1</v>
      </c>
      <c r="B5" s="820"/>
      <c r="C5" s="525" t="s">
        <v>2</v>
      </c>
      <c r="D5" s="525" t="s">
        <v>3</v>
      </c>
      <c r="E5" s="525" t="s">
        <v>58</v>
      </c>
      <c r="F5" s="525" t="s">
        <v>5</v>
      </c>
      <c r="G5" s="525" t="s">
        <v>6</v>
      </c>
      <c r="H5" s="538" t="s">
        <v>135</v>
      </c>
    </row>
    <row r="6" spans="1:18" ht="12" x14ac:dyDescent="0.2">
      <c r="A6" s="821" t="s">
        <v>132</v>
      </c>
      <c r="B6" s="822"/>
      <c r="C6" s="527">
        <f>SUM(C7:C17)</f>
        <v>336284.56999999995</v>
      </c>
      <c r="D6" s="528">
        <f>SUM(D7:D17)</f>
        <v>92808.75</v>
      </c>
      <c r="E6" s="528">
        <f>SUM(E7:E17)</f>
        <v>35300.93</v>
      </c>
      <c r="F6" s="528">
        <f>SUM(F7:F17)</f>
        <v>393792.39</v>
      </c>
      <c r="G6" s="529">
        <f>SUM(G7:G15)</f>
        <v>0</v>
      </c>
      <c r="I6" s="273"/>
      <c r="J6" s="273"/>
      <c r="K6" s="684"/>
      <c r="P6" s="684"/>
      <c r="R6" s="684"/>
    </row>
    <row r="7" spans="1:18" ht="12" customHeight="1" x14ac:dyDescent="0.2">
      <c r="A7" s="531"/>
      <c r="B7" s="532" t="s">
        <v>23</v>
      </c>
      <c r="C7" s="533">
        <f>'November 2023'!F7</f>
        <v>265278.36</v>
      </c>
      <c r="D7" s="534">
        <f>522.81+1559.46</f>
        <v>2082.27</v>
      </c>
      <c r="E7" s="718">
        <f>1000+394.99+125.92+3224.07+9027.3+1270.86+1520.51-6047.38+23433.98</f>
        <v>33950.25</v>
      </c>
      <c r="F7" s="536">
        <f>C7+D7-E7</f>
        <v>233410.38</v>
      </c>
      <c r="G7" s="537"/>
      <c r="H7" s="683" t="s">
        <v>158</v>
      </c>
      <c r="I7" s="684"/>
    </row>
    <row r="8" spans="1:18" ht="12" x14ac:dyDescent="0.2">
      <c r="A8" s="539"/>
      <c r="B8" s="540" t="s">
        <v>62</v>
      </c>
      <c r="C8" s="533">
        <f>'November 2023'!F8</f>
        <v>-8977.6299999999992</v>
      </c>
      <c r="D8" s="541">
        <v>9027.39</v>
      </c>
      <c r="E8" s="541">
        <v>421.67</v>
      </c>
      <c r="F8" s="542">
        <f t="shared" ref="F8:F15" si="0">C8+D8-E8</f>
        <v>-371.9099999999998</v>
      </c>
      <c r="G8" s="537"/>
      <c r="H8" s="543"/>
      <c r="I8" s="287"/>
    </row>
    <row r="9" spans="1:18" ht="12" hidden="1" x14ac:dyDescent="0.2">
      <c r="A9" s="539"/>
      <c r="B9" s="544" t="s">
        <v>67</v>
      </c>
      <c r="C9" s="533">
        <f>'November 2023'!F9</f>
        <v>0</v>
      </c>
      <c r="D9" s="541"/>
      <c r="E9" s="541"/>
      <c r="F9" s="536">
        <f t="shared" si="0"/>
        <v>0</v>
      </c>
      <c r="G9" s="537"/>
      <c r="H9" s="543"/>
      <c r="I9" s="289"/>
      <c r="J9" s="684"/>
    </row>
    <row r="10" spans="1:18" ht="12" hidden="1" x14ac:dyDescent="0.2">
      <c r="A10" s="539"/>
      <c r="B10" s="544" t="s">
        <v>41</v>
      </c>
      <c r="C10" s="533">
        <f>'November 2023'!F10</f>
        <v>-1.0000000002037268E-2</v>
      </c>
      <c r="D10" s="545"/>
      <c r="E10" s="545"/>
      <c r="F10" s="542">
        <f t="shared" si="0"/>
        <v>-1.0000000002037268E-2</v>
      </c>
      <c r="G10" s="537"/>
      <c r="H10" s="543"/>
      <c r="I10" s="291"/>
      <c r="J10" s="684"/>
    </row>
    <row r="11" spans="1:18" ht="12" x14ac:dyDescent="0.2">
      <c r="A11" s="539"/>
      <c r="B11" s="544" t="s">
        <v>117</v>
      </c>
      <c r="C11" s="533">
        <f>'November 2023'!F11</f>
        <v>326</v>
      </c>
      <c r="D11" s="546">
        <v>720</v>
      </c>
      <c r="E11" s="546"/>
      <c r="F11" s="536">
        <f t="shared" si="0"/>
        <v>1046</v>
      </c>
      <c r="G11" s="537"/>
      <c r="H11" s="543"/>
      <c r="I11" s="293"/>
    </row>
    <row r="12" spans="1:18" ht="12" x14ac:dyDescent="0.2">
      <c r="A12" s="539"/>
      <c r="B12" s="544" t="s">
        <v>20</v>
      </c>
      <c r="C12" s="533">
        <f>'November 2023'!F12</f>
        <v>1443.6</v>
      </c>
      <c r="D12" s="547">
        <v>172.4</v>
      </c>
      <c r="E12" s="547">
        <f>77.47</f>
        <v>77.47</v>
      </c>
      <c r="F12" s="548">
        <f>C12+D12-E12</f>
        <v>1538.53</v>
      </c>
      <c r="G12" s="537"/>
      <c r="H12" s="543"/>
      <c r="I12" s="684"/>
    </row>
    <row r="13" spans="1:18" ht="12" x14ac:dyDescent="0.2">
      <c r="A13" s="539"/>
      <c r="B13" s="544" t="s">
        <v>22</v>
      </c>
      <c r="C13" s="533">
        <f>'November 2023'!F13</f>
        <v>313.2199999999998</v>
      </c>
      <c r="D13" s="547">
        <v>11.6</v>
      </c>
      <c r="E13" s="547"/>
      <c r="F13" s="548">
        <f>C13+D13-E13</f>
        <v>324.81999999999982</v>
      </c>
      <c r="G13" s="537"/>
      <c r="H13" s="543"/>
      <c r="I13" s="684"/>
    </row>
    <row r="14" spans="1:18" ht="12" x14ac:dyDescent="0.2">
      <c r="A14" s="539"/>
      <c r="B14" s="544" t="s">
        <v>28</v>
      </c>
      <c r="C14" s="533">
        <f>'November 2023'!F14</f>
        <v>-155.57000000000113</v>
      </c>
      <c r="D14" s="547">
        <v>278.79000000000002</v>
      </c>
      <c r="E14" s="547">
        <f>97.02+155.95</f>
        <v>252.96999999999997</v>
      </c>
      <c r="F14" s="542">
        <f t="shared" si="0"/>
        <v>-129.75000000000108</v>
      </c>
      <c r="G14" s="537"/>
      <c r="H14" s="543"/>
      <c r="I14" s="684"/>
    </row>
    <row r="15" spans="1:18" ht="12" x14ac:dyDescent="0.2">
      <c r="A15" s="539"/>
      <c r="B15" s="549" t="s">
        <v>42</v>
      </c>
      <c r="C15" s="533">
        <f>'November 2023'!F15</f>
        <v>56.580000000000098</v>
      </c>
      <c r="D15" s="541"/>
      <c r="E15" s="541">
        <v>573.14</v>
      </c>
      <c r="F15" s="550">
        <f t="shared" si="0"/>
        <v>-516.55999999999995</v>
      </c>
      <c r="G15" s="537"/>
      <c r="H15" s="543"/>
      <c r="I15" s="684"/>
    </row>
    <row r="16" spans="1:18" ht="12" x14ac:dyDescent="0.2">
      <c r="A16" s="539"/>
      <c r="B16" s="549" t="s">
        <v>43</v>
      </c>
      <c r="C16" s="533">
        <f>'November 2023'!F16</f>
        <v>-1245.4300000000005</v>
      </c>
      <c r="D16" s="541">
        <v>1270.8599999999999</v>
      </c>
      <c r="E16" s="541">
        <v>25.43</v>
      </c>
      <c r="F16" s="548">
        <f>C16+D16-E16</f>
        <v>-6.1817218011128716E-13</v>
      </c>
      <c r="G16" s="537"/>
      <c r="H16" s="543"/>
      <c r="I16" s="273"/>
      <c r="P16" s="684"/>
    </row>
    <row r="17" spans="1:16" ht="12" x14ac:dyDescent="0.2">
      <c r="A17" s="658"/>
      <c r="B17" s="659" t="s">
        <v>141</v>
      </c>
      <c r="C17" s="533">
        <f>'November 2023'!F17</f>
        <v>79245.45</v>
      </c>
      <c r="D17" s="541">
        <v>79245.440000000002</v>
      </c>
      <c r="E17" s="541"/>
      <c r="F17" s="548">
        <f>C17+D17-E17</f>
        <v>158490.89000000001</v>
      </c>
      <c r="G17" s="537"/>
      <c r="H17" s="543"/>
      <c r="I17" s="273"/>
      <c r="P17" s="684"/>
    </row>
    <row r="18" spans="1:16" ht="12" x14ac:dyDescent="0.2">
      <c r="A18" s="823" t="s">
        <v>53</v>
      </c>
      <c r="B18" s="823"/>
      <c r="C18" s="551">
        <f>SUM(C19:C23)</f>
        <v>-29311.390000000003</v>
      </c>
      <c r="D18" s="552">
        <f>SUM(D19:D23)</f>
        <v>26847.24</v>
      </c>
      <c r="E18" s="552">
        <f>SUM(E19:E23)</f>
        <v>3051.62</v>
      </c>
      <c r="F18" s="542">
        <f>SUM(F19:F23)</f>
        <v>-5515.7700000000013</v>
      </c>
      <c r="G18" s="553">
        <f>SUM(G21+G23+G19)</f>
        <v>13500</v>
      </c>
      <c r="H18" s="543"/>
      <c r="I18" s="273"/>
      <c r="P18" s="684"/>
    </row>
    <row r="19" spans="1:16" ht="12" x14ac:dyDescent="0.2">
      <c r="A19" s="554"/>
      <c r="B19" s="555" t="s">
        <v>9</v>
      </c>
      <c r="C19" s="556">
        <f>'November 2023'!F19</f>
        <v>-1.8189894035458565E-12</v>
      </c>
      <c r="D19" s="557"/>
      <c r="E19" s="558"/>
      <c r="F19" s="559">
        <f>C19+D19-E19</f>
        <v>-1.8189894035458565E-12</v>
      </c>
      <c r="G19" s="541"/>
      <c r="H19" s="560"/>
      <c r="I19" s="684"/>
      <c r="J19" s="79"/>
    </row>
    <row r="20" spans="1:16" ht="12" x14ac:dyDescent="0.2">
      <c r="A20" s="539"/>
      <c r="B20" s="561" t="s">
        <v>8</v>
      </c>
      <c r="C20" s="556">
        <f>'November 2023'!F20</f>
        <v>-14718.01</v>
      </c>
      <c r="D20" s="547">
        <v>18847.240000000002</v>
      </c>
      <c r="E20" s="545">
        <f>1463.39+155.95</f>
        <v>1619.3400000000001</v>
      </c>
      <c r="F20" s="559">
        <f>C20+D20-E20</f>
        <v>2509.8900000000012</v>
      </c>
      <c r="G20" s="562"/>
      <c r="H20" s="560"/>
      <c r="I20" s="684"/>
    </row>
    <row r="21" spans="1:16" ht="12" x14ac:dyDescent="0.2">
      <c r="A21" s="539"/>
      <c r="B21" s="563" t="s">
        <v>32</v>
      </c>
      <c r="C21" s="556">
        <f>'November 2023'!F21</f>
        <v>-6065.47</v>
      </c>
      <c r="D21" s="547"/>
      <c r="E21" s="545">
        <v>194.04</v>
      </c>
      <c r="F21" s="559">
        <f t="shared" ref="F21:F23" si="1">C21+D21-E21</f>
        <v>-6259.51</v>
      </c>
      <c r="G21" s="564">
        <v>5000</v>
      </c>
      <c r="H21" s="560"/>
      <c r="I21" s="684"/>
    </row>
    <row r="22" spans="1:16" ht="12" x14ac:dyDescent="0.2">
      <c r="A22" s="539"/>
      <c r="B22" s="561" t="s">
        <v>67</v>
      </c>
      <c r="C22" s="556">
        <f>'November 2023'!F22</f>
        <v>-81.820000000000107</v>
      </c>
      <c r="D22" s="547"/>
      <c r="E22" s="547">
        <v>371.91</v>
      </c>
      <c r="F22" s="559">
        <f t="shared" si="1"/>
        <v>-453.73000000000013</v>
      </c>
      <c r="G22" s="564"/>
      <c r="H22" s="560"/>
      <c r="I22" s="684"/>
    </row>
    <row r="23" spans="1:16" ht="12" x14ac:dyDescent="0.2">
      <c r="A23" s="565"/>
      <c r="B23" s="566" t="s">
        <v>38</v>
      </c>
      <c r="C23" s="556">
        <f>'November 2023'!F23</f>
        <v>-8446.09</v>
      </c>
      <c r="D23" s="567">
        <v>8000</v>
      </c>
      <c r="E23" s="558">
        <f>242.55+623.78</f>
        <v>866.32999999999993</v>
      </c>
      <c r="F23" s="559">
        <f t="shared" si="1"/>
        <v>-1312.42</v>
      </c>
      <c r="G23" s="541">
        <v>8500</v>
      </c>
      <c r="H23" s="560"/>
      <c r="I23" s="684"/>
      <c r="J23" s="79"/>
    </row>
    <row r="24" spans="1:16" ht="12" x14ac:dyDescent="0.2">
      <c r="A24" s="824" t="s">
        <v>10</v>
      </c>
      <c r="B24" s="825"/>
      <c r="C24" s="551">
        <f>SUM(C25:C33)</f>
        <v>145719.11000000004</v>
      </c>
      <c r="D24" s="568">
        <f>SUM(D25:D33)</f>
        <v>0</v>
      </c>
      <c r="E24" s="569">
        <f>SUM(E25:E33)</f>
        <v>17175.169999999998</v>
      </c>
      <c r="F24" s="569">
        <f>SUM(F25:F33)-0.08</f>
        <v>151978.04000000007</v>
      </c>
      <c r="G24" s="570"/>
      <c r="H24" s="543"/>
      <c r="I24" s="273"/>
      <c r="P24" s="684"/>
    </row>
    <row r="25" spans="1:16" ht="12" hidden="1" x14ac:dyDescent="0.2">
      <c r="A25" s="554"/>
      <c r="B25" s="571" t="s">
        <v>55</v>
      </c>
      <c r="C25" s="556">
        <f>'February 2021'!G24</f>
        <v>0</v>
      </c>
      <c r="D25" s="572"/>
      <c r="E25" s="557"/>
      <c r="F25" s="573">
        <f>C25+D25-E25</f>
        <v>0</v>
      </c>
      <c r="G25" s="534"/>
      <c r="H25" s="543"/>
      <c r="I25" s="684"/>
      <c r="J25" s="319"/>
    </row>
    <row r="26" spans="1:16" ht="12" hidden="1" x14ac:dyDescent="0.2">
      <c r="A26" s="565"/>
      <c r="B26" s="549" t="s">
        <v>70</v>
      </c>
      <c r="C26" s="556">
        <f>'January 2022'!F25</f>
        <v>7.9999999998108251E-2</v>
      </c>
      <c r="D26" s="567"/>
      <c r="E26" s="567"/>
      <c r="F26" s="573">
        <f>C26+D26-E26</f>
        <v>7.9999999998108251E-2</v>
      </c>
      <c r="G26" s="541"/>
      <c r="H26" s="543"/>
      <c r="I26" s="684"/>
      <c r="J26" s="319"/>
    </row>
    <row r="27" spans="1:16" ht="12" hidden="1" x14ac:dyDescent="0.2">
      <c r="A27" s="531"/>
      <c r="B27" s="574" t="s">
        <v>105</v>
      </c>
      <c r="C27" s="556">
        <f>'April 2023'!F26</f>
        <v>-1.9999999992592166E-2</v>
      </c>
      <c r="D27" s="558"/>
      <c r="E27" s="575"/>
      <c r="F27" s="573">
        <f>C27+D27-E27+0.02</f>
        <v>7.4078347622741347E-12</v>
      </c>
      <c r="G27" s="541"/>
      <c r="H27" s="543"/>
      <c r="I27" s="684"/>
      <c r="J27" s="684"/>
    </row>
    <row r="28" spans="1:16" ht="12" hidden="1" x14ac:dyDescent="0.2">
      <c r="A28" s="531"/>
      <c r="B28" s="574" t="s">
        <v>39</v>
      </c>
      <c r="C28" s="556">
        <f>'April 2023'!F27</f>
        <v>8.1854523159563541E-12</v>
      </c>
      <c r="D28" s="567"/>
      <c r="E28" s="558"/>
      <c r="F28" s="573">
        <f t="shared" ref="F28:F32" si="2">C28+D28-E28</f>
        <v>8.1854523159563541E-12</v>
      </c>
      <c r="G28" s="541"/>
      <c r="H28" s="543"/>
      <c r="I28" s="684"/>
      <c r="J28" s="684"/>
    </row>
    <row r="29" spans="1:16" ht="12" x14ac:dyDescent="0.2">
      <c r="A29" s="531"/>
      <c r="B29" s="574" t="s">
        <v>147</v>
      </c>
      <c r="C29" s="556">
        <f>'November 2023'!F29</f>
        <v>38687.100000000006</v>
      </c>
      <c r="D29" s="567"/>
      <c r="E29" s="567"/>
      <c r="F29" s="573">
        <v>62121.26</v>
      </c>
      <c r="G29" s="541"/>
      <c r="H29" s="543" t="s">
        <v>154</v>
      </c>
      <c r="I29" s="684"/>
      <c r="J29" s="684"/>
    </row>
    <row r="30" spans="1:16" ht="12" hidden="1" x14ac:dyDescent="0.2">
      <c r="A30" s="531"/>
      <c r="B30" s="574" t="s">
        <v>86</v>
      </c>
      <c r="C30" s="556">
        <f>'November 2023'!F30</f>
        <v>-1.9326762412674725E-12</v>
      </c>
      <c r="D30" s="567"/>
      <c r="E30" s="567"/>
      <c r="F30" s="573">
        <f t="shared" si="2"/>
        <v>-1.9326762412674725E-12</v>
      </c>
      <c r="G30" s="541"/>
      <c r="H30" s="543"/>
      <c r="I30" s="684"/>
      <c r="J30" s="684"/>
    </row>
    <row r="31" spans="1:16" ht="12" x14ac:dyDescent="0.2">
      <c r="A31" s="531"/>
      <c r="B31" s="574" t="s">
        <v>101</v>
      </c>
      <c r="C31" s="556">
        <f>'November 2023'!F31</f>
        <v>3770.2100000000191</v>
      </c>
      <c r="D31" s="567"/>
      <c r="E31" s="567">
        <f>3406.37+363.87-0.03</f>
        <v>3770.2099999999996</v>
      </c>
      <c r="F31" s="573">
        <f t="shared" si="2"/>
        <v>1.9554136088117957E-11</v>
      </c>
      <c r="G31" s="541"/>
      <c r="H31" s="543"/>
      <c r="I31" s="684"/>
      <c r="J31" s="684"/>
    </row>
    <row r="32" spans="1:16" ht="12" x14ac:dyDescent="0.2">
      <c r="A32" s="531"/>
      <c r="B32" s="574" t="s">
        <v>119</v>
      </c>
      <c r="C32" s="556">
        <f>'November 2023'!F32</f>
        <v>118184</v>
      </c>
      <c r="D32" s="567"/>
      <c r="E32" s="567">
        <v>13111.41</v>
      </c>
      <c r="F32" s="573">
        <f t="shared" si="2"/>
        <v>105072.59</v>
      </c>
      <c r="G32" s="541"/>
      <c r="H32" s="543"/>
      <c r="I32" s="684"/>
      <c r="J32" s="684"/>
    </row>
    <row r="33" spans="1:16" ht="12" x14ac:dyDescent="0.2">
      <c r="A33" s="531"/>
      <c r="B33" s="549" t="s">
        <v>44</v>
      </c>
      <c r="C33" s="556">
        <f>'November 2023'!F33</f>
        <v>-14922.259999999998</v>
      </c>
      <c r="D33" s="567"/>
      <c r="E33" s="558">
        <v>293.55</v>
      </c>
      <c r="F33" s="573">
        <f>C33+D33-E33</f>
        <v>-15215.809999999998</v>
      </c>
      <c r="G33" s="541"/>
      <c r="H33" s="543"/>
      <c r="I33" s="684"/>
      <c r="J33" s="684"/>
    </row>
    <row r="34" spans="1:16" ht="12" x14ac:dyDescent="0.2">
      <c r="A34" s="826" t="s">
        <v>35</v>
      </c>
      <c r="B34" s="827"/>
      <c r="C34" s="551">
        <f>SUM(C35:C41)</f>
        <v>117276.91</v>
      </c>
      <c r="D34" s="568">
        <f>SUM(D35:D41)</f>
        <v>0</v>
      </c>
      <c r="E34" s="569">
        <f>SUM(E35:E41)</f>
        <v>3929.8999999999996</v>
      </c>
      <c r="F34" s="569">
        <f>SUM(F35:F41)</f>
        <v>113347.01000000001</v>
      </c>
      <c r="G34" s="570">
        <f>SUM(G35:G38)</f>
        <v>0</v>
      </c>
      <c r="H34" s="543"/>
      <c r="I34" s="273"/>
      <c r="P34" s="684"/>
    </row>
    <row r="35" spans="1:16" ht="12" x14ac:dyDescent="0.2">
      <c r="A35" s="565"/>
      <c r="B35" s="549" t="s">
        <v>146</v>
      </c>
      <c r="C35" s="556">
        <f>'November 2023'!F35</f>
        <v>48281.850000000006</v>
      </c>
      <c r="D35" s="576"/>
      <c r="E35" s="577">
        <v>1261.26</v>
      </c>
      <c r="F35" s="578">
        <f>C35+D35-E35</f>
        <v>47020.590000000004</v>
      </c>
      <c r="G35" s="541"/>
      <c r="H35" s="543"/>
      <c r="I35" s="684"/>
      <c r="J35" s="319"/>
    </row>
    <row r="36" spans="1:16" ht="12" x14ac:dyDescent="0.2">
      <c r="A36" s="565"/>
      <c r="B36" s="549" t="s">
        <v>90</v>
      </c>
      <c r="C36" s="556">
        <f>'November 2023'!F36</f>
        <v>19381.200000000012</v>
      </c>
      <c r="D36" s="576"/>
      <c r="E36" s="577">
        <f>371.91+103.96</f>
        <v>475.87</v>
      </c>
      <c r="F36" s="578">
        <f t="shared" ref="F36:F37" si="3">C36+D36-E36</f>
        <v>18905.330000000013</v>
      </c>
      <c r="G36" s="541"/>
      <c r="H36" s="543"/>
      <c r="I36" s="684"/>
      <c r="J36" s="319"/>
    </row>
    <row r="37" spans="1:16" ht="12" x14ac:dyDescent="0.2">
      <c r="A37" s="565"/>
      <c r="B37" s="549" t="s">
        <v>138</v>
      </c>
      <c r="C37" s="556">
        <f>'November 2023'!F37</f>
        <v>6049</v>
      </c>
      <c r="D37" s="576"/>
      <c r="E37" s="577"/>
      <c r="F37" s="578">
        <f t="shared" si="3"/>
        <v>6049</v>
      </c>
      <c r="G37" s="541"/>
      <c r="H37" s="543"/>
      <c r="I37" s="684"/>
      <c r="J37" s="319"/>
    </row>
    <row r="38" spans="1:16" ht="12" x14ac:dyDescent="0.2">
      <c r="A38" s="565"/>
      <c r="B38" s="579" t="s">
        <v>143</v>
      </c>
      <c r="C38" s="556">
        <f>'November 2023'!F38</f>
        <v>22124.01</v>
      </c>
      <c r="D38" s="576"/>
      <c r="E38" s="558">
        <v>210.21</v>
      </c>
      <c r="F38" s="578">
        <f>C38+D38-E38</f>
        <v>21913.8</v>
      </c>
      <c r="G38" s="541"/>
      <c r="H38" s="543"/>
      <c r="I38" s="293"/>
      <c r="J38" s="266"/>
      <c r="P38" s="326"/>
    </row>
    <row r="39" spans="1:16" ht="12" x14ac:dyDescent="0.2">
      <c r="A39" s="688"/>
      <c r="B39" s="688" t="s">
        <v>99</v>
      </c>
      <c r="C39" s="556">
        <f>'November 2023'!F39</f>
        <v>10550</v>
      </c>
      <c r="D39" s="580"/>
      <c r="E39" s="688"/>
      <c r="F39" s="578">
        <f>C39+D39-E39</f>
        <v>10550</v>
      </c>
      <c r="G39" s="688"/>
      <c r="H39" s="688"/>
    </row>
    <row r="40" spans="1:16" ht="12" x14ac:dyDescent="0.2">
      <c r="A40" s="688"/>
      <c r="B40" s="688" t="s">
        <v>131</v>
      </c>
      <c r="C40" s="556">
        <f>'November 2023'!F40</f>
        <v>11240.51</v>
      </c>
      <c r="D40" s="582"/>
      <c r="E40" s="688">
        <v>155.94999999999999</v>
      </c>
      <c r="F40" s="578">
        <f>C40+D40-E40</f>
        <v>11084.56</v>
      </c>
      <c r="G40" s="688"/>
      <c r="H40" s="688"/>
    </row>
    <row r="41" spans="1:16" ht="12.75" thickBot="1" x14ac:dyDescent="0.25">
      <c r="A41" s="688"/>
      <c r="B41" s="583" t="s">
        <v>111</v>
      </c>
      <c r="C41" s="556">
        <f>'November 2023'!F41</f>
        <v>-349.66000000000054</v>
      </c>
      <c r="D41" s="584"/>
      <c r="E41" s="688">
        <v>1826.61</v>
      </c>
      <c r="F41" s="578">
        <f>C41+D41-E41</f>
        <v>-2176.2700000000004</v>
      </c>
      <c r="G41" s="688"/>
      <c r="H41" s="688"/>
    </row>
    <row r="42" spans="1:16" ht="12.75" thickBot="1" x14ac:dyDescent="0.25">
      <c r="A42" s="828" t="s">
        <v>11</v>
      </c>
      <c r="B42" s="812"/>
      <c r="C42" s="585">
        <f>C34+C24+C18+C6</f>
        <v>569969.19999999995</v>
      </c>
      <c r="D42" s="627">
        <f>SUM(D24,D18,D6,D34)</f>
        <v>119655.99</v>
      </c>
      <c r="E42" s="587">
        <f>SUM(E24,E18,E6,E34)</f>
        <v>59457.62</v>
      </c>
      <c r="F42" s="588">
        <f>SUM(F24,F18,F6,F34)</f>
        <v>653601.67000000016</v>
      </c>
      <c r="G42" s="589">
        <f>SUM(G6,G18,G24,G34)</f>
        <v>13500</v>
      </c>
      <c r="H42" s="689"/>
      <c r="I42" s="684"/>
      <c r="J42" s="331"/>
    </row>
    <row r="43" spans="1:16" ht="12" hidden="1" x14ac:dyDescent="0.2">
      <c r="A43" s="686"/>
      <c r="B43" s="687"/>
      <c r="C43" s="689">
        <f>SUM(C18:C23)</f>
        <v>-58622.780000000013</v>
      </c>
      <c r="D43" s="689"/>
      <c r="E43" s="689"/>
      <c r="F43" s="689"/>
      <c r="G43" s="593"/>
      <c r="H43" s="689"/>
      <c r="K43" s="683" t="s">
        <v>12</v>
      </c>
      <c r="L43" s="683">
        <v>42.43</v>
      </c>
    </row>
    <row r="44" spans="1:16" ht="12.75" hidden="1" thickBot="1" x14ac:dyDescent="0.25">
      <c r="A44" s="594" t="s">
        <v>25</v>
      </c>
      <c r="B44" s="595"/>
      <c r="C44" s="596" t="e">
        <f>SUM(C42,#REF!)</f>
        <v>#REF!</v>
      </c>
      <c r="D44" s="597" t="e">
        <f>SUM(D42,#REF!)</f>
        <v>#REF!</v>
      </c>
      <c r="E44" s="597" t="e">
        <f>SUM(E42,#REF!)</f>
        <v>#REF!</v>
      </c>
      <c r="F44" s="598" t="e">
        <f>SUM(F42,#REF!)</f>
        <v>#REF!</v>
      </c>
      <c r="G44" s="593"/>
      <c r="H44" s="689"/>
      <c r="I44" s="331"/>
      <c r="J44" s="79">
        <v>206730.35</v>
      </c>
    </row>
    <row r="45" spans="1:16" ht="12.75" thickBot="1" x14ac:dyDescent="0.25">
      <c r="A45" s="688"/>
      <c r="B45" s="599"/>
      <c r="C45" s="689"/>
      <c r="D45" s="689"/>
      <c r="E45" s="689"/>
      <c r="F45" s="689"/>
      <c r="G45" s="593"/>
      <c r="H45" s="600"/>
      <c r="I45" s="331"/>
      <c r="J45" s="79"/>
      <c r="P45" s="684"/>
    </row>
    <row r="46" spans="1:16" ht="12.75" thickBot="1" x14ac:dyDescent="0.25">
      <c r="A46" s="829" t="s">
        <v>13</v>
      </c>
      <c r="B46" s="830"/>
      <c r="C46" s="601" t="s">
        <v>2</v>
      </c>
      <c r="D46" s="601" t="s">
        <v>3</v>
      </c>
      <c r="E46" s="601" t="s">
        <v>27</v>
      </c>
      <c r="F46" s="601" t="s">
        <v>5</v>
      </c>
      <c r="G46" s="602"/>
      <c r="H46" s="603"/>
      <c r="I46" s="343"/>
    </row>
    <row r="47" spans="1:16" ht="12.75" thickBot="1" x14ac:dyDescent="0.25">
      <c r="A47" s="815" t="s">
        <v>14</v>
      </c>
      <c r="B47" s="816"/>
      <c r="C47" s="604">
        <f>'November 2023'!F47</f>
        <v>297.91999999999996</v>
      </c>
      <c r="D47" s="605"/>
      <c r="E47" s="605"/>
      <c r="F47" s="606">
        <f>C47+D47-E47</f>
        <v>297.91999999999996</v>
      </c>
      <c r="G47" s="689"/>
      <c r="H47" s="688"/>
      <c r="I47" s="331"/>
      <c r="J47" s="79"/>
    </row>
    <row r="48" spans="1:16" ht="12.75" thickBot="1" x14ac:dyDescent="0.25">
      <c r="A48" s="831" t="s">
        <v>15</v>
      </c>
      <c r="B48" s="832"/>
      <c r="C48" s="604">
        <f>'November 2023'!F48</f>
        <v>29061.460000000003</v>
      </c>
      <c r="D48" s="607">
        <v>60000</v>
      </c>
      <c r="E48" s="607">
        <v>25822.41</v>
      </c>
      <c r="F48" s="606">
        <f>C48+D48-E48</f>
        <v>63239.05</v>
      </c>
      <c r="G48" s="689"/>
      <c r="H48" s="608"/>
      <c r="I48" s="331"/>
    </row>
    <row r="49" spans="1:16" ht="12.75" thickBot="1" x14ac:dyDescent="0.25">
      <c r="A49" s="609"/>
      <c r="B49" s="610" t="s">
        <v>21</v>
      </c>
      <c r="C49" s="604">
        <f>'November 2023'!F49</f>
        <v>0</v>
      </c>
      <c r="D49" s="611"/>
      <c r="E49" s="611"/>
      <c r="F49" s="606">
        <f t="shared" ref="F49:F52" si="4">C49+D49-E49</f>
        <v>0</v>
      </c>
      <c r="G49" s="689"/>
      <c r="H49" s="608"/>
      <c r="I49" s="79"/>
    </row>
    <row r="50" spans="1:16" ht="12.75" thickBot="1" x14ac:dyDescent="0.25">
      <c r="A50" s="609"/>
      <c r="B50" s="610" t="s">
        <v>40</v>
      </c>
      <c r="C50" s="604">
        <f>'November 2023'!F50</f>
        <v>-5830.5100000000039</v>
      </c>
      <c r="D50" s="612">
        <v>5329.07</v>
      </c>
      <c r="E50" s="612">
        <v>855.45</v>
      </c>
      <c r="F50" s="606">
        <f>C50+D50-E50</f>
        <v>-1356.8900000000042</v>
      </c>
      <c r="G50" s="689"/>
      <c r="H50" s="613"/>
      <c r="I50" s="79"/>
    </row>
    <row r="51" spans="1:16" s="690" customFormat="1" ht="12.75" thickBot="1" x14ac:dyDescent="0.25">
      <c r="A51" s="692"/>
      <c r="B51" s="693" t="s">
        <v>150</v>
      </c>
      <c r="C51" s="604">
        <v>0</v>
      </c>
      <c r="D51" s="612">
        <v>150000</v>
      </c>
      <c r="E51" s="612"/>
      <c r="F51" s="606">
        <f>C51+D51-E51</f>
        <v>150000</v>
      </c>
      <c r="G51" s="691"/>
      <c r="H51" s="613"/>
      <c r="I51" s="79"/>
    </row>
    <row r="52" spans="1:16" ht="12.75" thickBot="1" x14ac:dyDescent="0.25">
      <c r="A52" s="815" t="s">
        <v>16</v>
      </c>
      <c r="B52" s="816"/>
      <c r="C52" s="604">
        <f>'November 2023'!F51</f>
        <v>328071.0500000001</v>
      </c>
      <c r="D52" s="614">
        <v>105731.51</v>
      </c>
      <c r="E52" s="614">
        <v>210000</v>
      </c>
      <c r="F52" s="606">
        <f t="shared" si="4"/>
        <v>223802.56000000011</v>
      </c>
      <c r="G52" s="689"/>
      <c r="H52" s="613"/>
      <c r="I52" s="79"/>
    </row>
    <row r="53" spans="1:16" ht="12.75" thickBot="1" x14ac:dyDescent="0.25">
      <c r="A53" s="615" t="s">
        <v>46</v>
      </c>
      <c r="B53" s="616"/>
      <c r="C53" s="604">
        <f>'November 2023'!F52</f>
        <v>218369.55999999991</v>
      </c>
      <c r="D53" s="576">
        <v>287.98</v>
      </c>
      <c r="E53" s="576">
        <f>1000+38.44</f>
        <v>1038.44</v>
      </c>
      <c r="F53" s="606">
        <f>C53+D53-E53</f>
        <v>217619.09999999992</v>
      </c>
      <c r="G53" s="689"/>
      <c r="H53" s="613"/>
      <c r="I53" s="79"/>
    </row>
    <row r="54" spans="1:16" ht="12.75" thickBot="1" x14ac:dyDescent="0.25">
      <c r="A54" s="811"/>
      <c r="B54" s="812"/>
      <c r="C54" s="617">
        <f>SUM(C47+C48+C52+C53+C50+C49)</f>
        <v>569969.48</v>
      </c>
      <c r="D54" s="618">
        <f>SUM(D47:D53)</f>
        <v>321348.56</v>
      </c>
      <c r="E54" s="618">
        <f>SUM(E47:E53)</f>
        <v>237716.3</v>
      </c>
      <c r="F54" s="606">
        <f>C54+D54-E54</f>
        <v>653601.74</v>
      </c>
      <c r="G54" s="689"/>
      <c r="H54" s="603"/>
      <c r="I54" s="79"/>
      <c r="J54" s="266"/>
    </row>
    <row r="55" spans="1:16" ht="12" x14ac:dyDescent="0.2">
      <c r="A55" s="686"/>
      <c r="B55" s="687"/>
      <c r="C55" s="689">
        <f>C42-C54</f>
        <v>-0.28000000002793968</v>
      </c>
      <c r="D55" s="689"/>
      <c r="E55" s="689"/>
      <c r="F55" s="689">
        <f>F42-F54</f>
        <v>-6.9999999832361937E-2</v>
      </c>
      <c r="G55" s="688"/>
      <c r="H55" s="689"/>
      <c r="I55" s="331"/>
      <c r="J55" s="331"/>
      <c r="K55" s="266"/>
    </row>
    <row r="56" spans="1:16" ht="12" x14ac:dyDescent="0.2">
      <c r="A56" s="688"/>
      <c r="B56" s="599"/>
      <c r="C56" s="689"/>
      <c r="D56" s="689"/>
      <c r="E56" s="689"/>
      <c r="F56" s="689"/>
      <c r="G56" s="689"/>
      <c r="H56" s="689"/>
      <c r="I56" s="331"/>
    </row>
    <row r="57" spans="1:16" ht="12" x14ac:dyDescent="0.2">
      <c r="A57" s="813" t="s">
        <v>17</v>
      </c>
      <c r="B57" s="813"/>
      <c r="C57" s="813"/>
      <c r="D57" s="813"/>
      <c r="E57" s="814" t="s">
        <v>18</v>
      </c>
      <c r="F57" s="814"/>
      <c r="G57" s="689"/>
      <c r="H57" s="689"/>
      <c r="J57" s="331"/>
    </row>
    <row r="58" spans="1:16" ht="12" x14ac:dyDescent="0.2">
      <c r="A58" s="688"/>
      <c r="B58" s="688"/>
      <c r="C58" s="689"/>
      <c r="D58" s="689"/>
      <c r="E58" s="689"/>
      <c r="F58" s="689"/>
      <c r="G58" s="689"/>
      <c r="H58" s="689"/>
    </row>
    <row r="59" spans="1:16" ht="12" x14ac:dyDescent="0.2">
      <c r="A59" s="813" t="s">
        <v>19</v>
      </c>
      <c r="B59" s="813"/>
      <c r="C59" s="813"/>
      <c r="D59" s="813"/>
      <c r="E59" s="814" t="s">
        <v>18</v>
      </c>
      <c r="F59" s="814"/>
      <c r="G59" s="689"/>
      <c r="H59" s="689"/>
    </row>
    <row r="60" spans="1:16" ht="12" x14ac:dyDescent="0.2">
      <c r="A60" s="686"/>
      <c r="B60" s="687"/>
      <c r="C60" s="524"/>
      <c r="D60" s="524"/>
      <c r="E60" s="524"/>
      <c r="F60" s="613"/>
      <c r="G60" s="524"/>
      <c r="H60" s="524"/>
      <c r="I60" s="331"/>
      <c r="J60" s="79"/>
      <c r="P60" s="364"/>
    </row>
    <row r="61" spans="1:16" ht="12" x14ac:dyDescent="0.2">
      <c r="A61" s="688"/>
      <c r="B61" s="599"/>
      <c r="C61" s="603"/>
      <c r="D61" s="603"/>
      <c r="E61" s="603"/>
      <c r="H61" s="688"/>
      <c r="I61" s="331"/>
      <c r="J61" s="343"/>
      <c r="L61" s="266"/>
      <c r="P61" s="364"/>
    </row>
    <row r="62" spans="1:16" x14ac:dyDescent="0.2">
      <c r="B62" s="340"/>
      <c r="C62" s="79"/>
      <c r="D62" s="331"/>
      <c r="J62" s="331"/>
    </row>
  </sheetData>
  <mergeCells count="17">
    <mergeCell ref="A54:B54"/>
    <mergeCell ref="A57:D57"/>
    <mergeCell ref="E57:F57"/>
    <mergeCell ref="A59:D59"/>
    <mergeCell ref="E59:F59"/>
    <mergeCell ref="A52:B52"/>
    <mergeCell ref="A2:G2"/>
    <mergeCell ref="A3:G3"/>
    <mergeCell ref="A5:B5"/>
    <mergeCell ref="A6:B6"/>
    <mergeCell ref="A18:B18"/>
    <mergeCell ref="A24:B24"/>
    <mergeCell ref="A34:B34"/>
    <mergeCell ref="A42:B42"/>
    <mergeCell ref="A46:B46"/>
    <mergeCell ref="A47:B47"/>
    <mergeCell ref="A48:B48"/>
  </mergeCells>
  <pageMargins left="0.7" right="0.7" top="0.75" bottom="0.75" header="0.3" footer="0.3"/>
  <pageSetup scale="83" orientation="portrait" r:id="rId1"/>
  <legacy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D37ED-67C5-43DB-8B3B-384A330E4ADE}">
  <sheetPr>
    <pageSetUpPr fitToPage="1"/>
  </sheetPr>
  <dimension ref="A1:R62"/>
  <sheetViews>
    <sheetView topLeftCell="A2" zoomScale="130" zoomScaleNormal="130" workbookViewId="0">
      <selection activeCell="C13" sqref="C13"/>
    </sheetView>
  </sheetViews>
  <sheetFormatPr defaultColWidth="9.140625" defaultRowHeight="11.25" x14ac:dyDescent="0.2"/>
  <cols>
    <col min="1" max="1" width="10.7109375" style="694" customWidth="1"/>
    <col min="2" max="2" width="37.42578125" style="694" customWidth="1"/>
    <col min="3" max="3" width="10" style="694" customWidth="1"/>
    <col min="4" max="4" width="8.85546875" style="694" customWidth="1"/>
    <col min="5" max="6" width="10.28515625" style="694" customWidth="1"/>
    <col min="7" max="7" width="8.85546875" style="694" customWidth="1"/>
    <col min="8" max="8" width="13.85546875" style="694" customWidth="1"/>
    <col min="9" max="9" width="14.7109375" style="694" customWidth="1"/>
    <col min="10" max="10" width="14.5703125" style="694" customWidth="1"/>
    <col min="11" max="11" width="11.28515625" style="694" customWidth="1"/>
    <col min="12" max="15" width="9.140625" style="694"/>
    <col min="16" max="16" width="13" style="694" customWidth="1"/>
    <col min="17" max="16384" width="9.140625" style="694"/>
  </cols>
  <sheetData>
    <row r="1" spans="1:18" hidden="1" x14ac:dyDescent="0.2"/>
    <row r="2" spans="1:18" ht="12" x14ac:dyDescent="0.2">
      <c r="A2" s="817" t="s">
        <v>0</v>
      </c>
      <c r="B2" s="817"/>
      <c r="C2" s="817"/>
      <c r="D2" s="817"/>
      <c r="E2" s="817"/>
      <c r="F2" s="817"/>
      <c r="G2" s="817"/>
      <c r="H2" s="696"/>
    </row>
    <row r="3" spans="1:18" ht="12" x14ac:dyDescent="0.2">
      <c r="A3" s="818" t="s">
        <v>151</v>
      </c>
      <c r="B3" s="818"/>
      <c r="C3" s="818"/>
      <c r="D3" s="818"/>
      <c r="E3" s="818"/>
      <c r="F3" s="818"/>
      <c r="G3" s="818"/>
      <c r="H3" s="526" t="s">
        <v>133</v>
      </c>
      <c r="I3" s="699"/>
    </row>
    <row r="4" spans="1:18" ht="12.75" thickBot="1" x14ac:dyDescent="0.25">
      <c r="A4" s="699"/>
      <c r="B4" s="523" t="s">
        <v>37</v>
      </c>
      <c r="C4" s="699"/>
      <c r="D4" s="699"/>
      <c r="E4" s="699"/>
      <c r="F4" s="524"/>
      <c r="G4" s="699"/>
      <c r="H4" s="530" t="s">
        <v>134</v>
      </c>
    </row>
    <row r="5" spans="1:18" ht="15.75" customHeight="1" x14ac:dyDescent="0.2">
      <c r="A5" s="819" t="s">
        <v>1</v>
      </c>
      <c r="B5" s="820"/>
      <c r="C5" s="525" t="s">
        <v>2</v>
      </c>
      <c r="D5" s="525" t="s">
        <v>3</v>
      </c>
      <c r="E5" s="525" t="s">
        <v>58</v>
      </c>
      <c r="F5" s="525" t="s">
        <v>5</v>
      </c>
      <c r="G5" s="525" t="s">
        <v>6</v>
      </c>
      <c r="H5" s="538" t="s">
        <v>135</v>
      </c>
    </row>
    <row r="6" spans="1:18" ht="12" x14ac:dyDescent="0.2">
      <c r="A6" s="821" t="s">
        <v>132</v>
      </c>
      <c r="B6" s="822"/>
      <c r="C6" s="527">
        <f>SUM(C7:C17)</f>
        <v>393792.39</v>
      </c>
      <c r="D6" s="528">
        <f>SUM(D7:D17)</f>
        <v>9497.7499999999982</v>
      </c>
      <c r="E6" s="528">
        <f>SUM(E7:E17)</f>
        <v>10251.370000000001</v>
      </c>
      <c r="F6" s="528">
        <f>SUM(F7:F17)</f>
        <v>393038.77</v>
      </c>
      <c r="G6" s="529">
        <f>SUM(G7:G15)</f>
        <v>0</v>
      </c>
      <c r="I6" s="273"/>
      <c r="J6" s="273"/>
      <c r="K6" s="695"/>
      <c r="P6" s="695"/>
      <c r="R6" s="695"/>
    </row>
    <row r="7" spans="1:18" ht="12" customHeight="1" x14ac:dyDescent="0.2">
      <c r="A7" s="531"/>
      <c r="B7" s="532" t="s">
        <v>23</v>
      </c>
      <c r="C7" s="533">
        <f>'December 2023'!F7</f>
        <v>233410.38</v>
      </c>
      <c r="D7" s="534">
        <f>2045+385.75</f>
        <v>2430.75</v>
      </c>
      <c r="E7" s="535">
        <f>1000+4444.39+283.2+3403.91+5319+7402.95-11753.79</f>
        <v>10099.66</v>
      </c>
      <c r="F7" s="536">
        <f>C7+D7-E7</f>
        <v>225741.47</v>
      </c>
      <c r="G7" s="537"/>
      <c r="I7" s="695"/>
    </row>
    <row r="8" spans="1:18" ht="12" x14ac:dyDescent="0.2">
      <c r="A8" s="539"/>
      <c r="B8" s="540" t="s">
        <v>159</v>
      </c>
      <c r="C8" s="533">
        <f>'December 2023'!F8</f>
        <v>-371.9099999999998</v>
      </c>
      <c r="D8" s="541"/>
      <c r="E8" s="541"/>
      <c r="F8" s="542">
        <f t="shared" ref="F8:F15" si="0">C8+D8-E8</f>
        <v>-371.9099999999998</v>
      </c>
      <c r="G8" s="537"/>
      <c r="H8" s="543"/>
      <c r="I8" s="287"/>
    </row>
    <row r="9" spans="1:18" ht="12" hidden="1" x14ac:dyDescent="0.2">
      <c r="A9" s="539"/>
      <c r="B9" s="544" t="s">
        <v>67</v>
      </c>
      <c r="C9" s="533">
        <f>'December 2023'!F9</f>
        <v>0</v>
      </c>
      <c r="D9" s="541"/>
      <c r="E9" s="541"/>
      <c r="F9" s="536">
        <f t="shared" si="0"/>
        <v>0</v>
      </c>
      <c r="G9" s="537"/>
      <c r="H9" s="543"/>
      <c r="I9" s="289"/>
      <c r="J9" s="695"/>
    </row>
    <row r="10" spans="1:18" ht="12" hidden="1" x14ac:dyDescent="0.2">
      <c r="A10" s="539"/>
      <c r="B10" s="544" t="s">
        <v>41</v>
      </c>
      <c r="C10" s="533">
        <f>'December 2023'!F10</f>
        <v>-1.0000000002037268E-2</v>
      </c>
      <c r="D10" s="545"/>
      <c r="E10" s="545"/>
      <c r="F10" s="542">
        <f t="shared" si="0"/>
        <v>-1.0000000002037268E-2</v>
      </c>
      <c r="G10" s="537"/>
      <c r="H10" s="543"/>
      <c r="I10" s="291"/>
      <c r="J10" s="695"/>
    </row>
    <row r="11" spans="1:18" ht="12" x14ac:dyDescent="0.2">
      <c r="A11" s="539"/>
      <c r="B11" s="544" t="s">
        <v>117</v>
      </c>
      <c r="C11" s="533">
        <f>'December 2023'!F11</f>
        <v>1046</v>
      </c>
      <c r="D11" s="546"/>
      <c r="E11" s="546"/>
      <c r="F11" s="536">
        <f t="shared" si="0"/>
        <v>1046</v>
      </c>
      <c r="G11" s="537"/>
      <c r="H11" s="543"/>
      <c r="I11" s="293"/>
    </row>
    <row r="12" spans="1:18" ht="12" x14ac:dyDescent="0.2">
      <c r="A12" s="539"/>
      <c r="B12" s="544" t="s">
        <v>20</v>
      </c>
      <c r="C12" s="533">
        <f>'December 2023'!F12</f>
        <v>1538.53</v>
      </c>
      <c r="D12" s="547">
        <f>6342.84+269.44</f>
        <v>6612.28</v>
      </c>
      <c r="E12" s="547">
        <v>29.77</v>
      </c>
      <c r="F12" s="548">
        <f>C12+D12-E12</f>
        <v>8121.0399999999991</v>
      </c>
      <c r="G12" s="537"/>
      <c r="H12" s="543"/>
      <c r="I12" s="695"/>
    </row>
    <row r="13" spans="1:18" ht="12" x14ac:dyDescent="0.2">
      <c r="A13" s="539"/>
      <c r="B13" s="544" t="s">
        <v>22</v>
      </c>
      <c r="C13" s="533">
        <f>'December 2023'!F13</f>
        <v>324.81999999999982</v>
      </c>
      <c r="D13" s="547">
        <v>454.72</v>
      </c>
      <c r="E13" s="547">
        <v>35</v>
      </c>
      <c r="F13" s="548">
        <f>C13+D13-E13</f>
        <v>744.53999999999985</v>
      </c>
      <c r="G13" s="537"/>
      <c r="H13" s="543"/>
      <c r="I13" s="695"/>
    </row>
    <row r="14" spans="1:18" ht="12" x14ac:dyDescent="0.2">
      <c r="A14" s="539"/>
      <c r="B14" s="544" t="s">
        <v>28</v>
      </c>
      <c r="C14" s="533">
        <f>'December 2023'!F14</f>
        <v>-129.75000000000108</v>
      </c>
      <c r="D14" s="547"/>
      <c r="E14" s="547"/>
      <c r="F14" s="542">
        <f t="shared" si="0"/>
        <v>-129.75000000000108</v>
      </c>
      <c r="G14" s="537"/>
      <c r="H14" s="543"/>
      <c r="I14" s="695"/>
    </row>
    <row r="15" spans="1:18" ht="12" x14ac:dyDescent="0.2">
      <c r="A15" s="539"/>
      <c r="B15" s="549" t="s">
        <v>42</v>
      </c>
      <c r="C15" s="533">
        <f>'December 2023'!F15</f>
        <v>-516.55999999999995</v>
      </c>
      <c r="D15" s="541"/>
      <c r="E15" s="541"/>
      <c r="F15" s="550">
        <f t="shared" si="0"/>
        <v>-516.55999999999995</v>
      </c>
      <c r="G15" s="537"/>
      <c r="H15" s="543"/>
      <c r="I15" s="695"/>
    </row>
    <row r="16" spans="1:18" ht="12" x14ac:dyDescent="0.2">
      <c r="A16" s="539"/>
      <c r="B16" s="549" t="s">
        <v>43</v>
      </c>
      <c r="C16" s="533">
        <f>'December 2023'!F16</f>
        <v>-6.1817218011128716E-13</v>
      </c>
      <c r="D16" s="541"/>
      <c r="E16" s="541">
        <v>86.94</v>
      </c>
      <c r="F16" s="548">
        <f>C16+D16-E16</f>
        <v>-86.940000000000623</v>
      </c>
      <c r="G16" s="537"/>
      <c r="H16" s="543"/>
      <c r="I16" s="273"/>
      <c r="P16" s="695"/>
    </row>
    <row r="17" spans="1:16" ht="12" x14ac:dyDescent="0.2">
      <c r="A17" s="658"/>
      <c r="B17" s="659" t="s">
        <v>141</v>
      </c>
      <c r="C17" s="533">
        <f>'December 2023'!F17</f>
        <v>158490.89000000001</v>
      </c>
      <c r="D17" s="541"/>
      <c r="E17" s="541"/>
      <c r="F17" s="548">
        <f>C17+D17-E17</f>
        <v>158490.89000000001</v>
      </c>
      <c r="G17" s="537"/>
      <c r="H17" s="543"/>
      <c r="I17" s="273"/>
      <c r="P17" s="695"/>
    </row>
    <row r="18" spans="1:16" ht="12" x14ac:dyDescent="0.2">
      <c r="A18" s="823" t="s">
        <v>53</v>
      </c>
      <c r="B18" s="823"/>
      <c r="C18" s="551">
        <f>SUM(C19:C23)</f>
        <v>-5515.7700000000013</v>
      </c>
      <c r="D18" s="552">
        <f>SUM(D19:D23)</f>
        <v>3112.73</v>
      </c>
      <c r="E18" s="552">
        <f>SUM(E19:E23)</f>
        <v>4044.44</v>
      </c>
      <c r="F18" s="542">
        <f>SUM(F19:F23)</f>
        <v>-6447.4800000000032</v>
      </c>
      <c r="G18" s="553">
        <f>SUM(G21+G23+G19)</f>
        <v>13500</v>
      </c>
      <c r="H18" s="543"/>
      <c r="I18" s="273"/>
      <c r="P18" s="695"/>
    </row>
    <row r="19" spans="1:16" ht="12" x14ac:dyDescent="0.2">
      <c r="A19" s="554"/>
      <c r="B19" s="555" t="s">
        <v>9</v>
      </c>
      <c r="C19" s="556">
        <f>'December 2023'!F19</f>
        <v>-1.8189894035458565E-12</v>
      </c>
      <c r="D19" s="557"/>
      <c r="E19" s="558">
        <v>1005.87</v>
      </c>
      <c r="F19" s="559">
        <f>C19+D19-E19</f>
        <v>-1005.8700000000018</v>
      </c>
      <c r="G19" s="541"/>
      <c r="H19" s="560"/>
      <c r="I19" s="695"/>
      <c r="J19" s="79"/>
    </row>
    <row r="20" spans="1:16" ht="12" x14ac:dyDescent="0.2">
      <c r="A20" s="539"/>
      <c r="B20" s="561" t="s">
        <v>8</v>
      </c>
      <c r="C20" s="556">
        <f>'December 2023'!F20</f>
        <v>2509.8900000000012</v>
      </c>
      <c r="D20" s="547">
        <v>3112.73</v>
      </c>
      <c r="E20" s="545">
        <v>733.43</v>
      </c>
      <c r="F20" s="559">
        <f>C20+D20-E20</f>
        <v>4889.1900000000005</v>
      </c>
      <c r="G20" s="562"/>
      <c r="H20" s="560"/>
      <c r="I20" s="695"/>
    </row>
    <row r="21" spans="1:16" ht="12" x14ac:dyDescent="0.2">
      <c r="A21" s="539"/>
      <c r="B21" s="563" t="s">
        <v>32</v>
      </c>
      <c r="C21" s="556">
        <f>'December 2023'!F21</f>
        <v>-6259.51</v>
      </c>
      <c r="D21" s="547"/>
      <c r="E21" s="545">
        <v>284.52</v>
      </c>
      <c r="F21" s="559">
        <f t="shared" ref="F21:F23" si="1">C21+D21-E21</f>
        <v>-6544.0300000000007</v>
      </c>
      <c r="G21" s="564">
        <v>5000</v>
      </c>
      <c r="H21" s="560"/>
      <c r="I21" s="695"/>
    </row>
    <row r="22" spans="1:16" ht="12" x14ac:dyDescent="0.2">
      <c r="A22" s="539"/>
      <c r="B22" s="561" t="s">
        <v>67</v>
      </c>
      <c r="C22" s="556">
        <f>'December 2023'!F22</f>
        <v>-453.73000000000013</v>
      </c>
      <c r="D22" s="547"/>
      <c r="E22" s="547">
        <v>1825.01</v>
      </c>
      <c r="F22" s="559">
        <f t="shared" si="1"/>
        <v>-2278.7400000000002</v>
      </c>
      <c r="G22" s="564"/>
      <c r="H22" s="560"/>
      <c r="I22" s="695"/>
    </row>
    <row r="23" spans="1:16" ht="12" x14ac:dyDescent="0.2">
      <c r="A23" s="565"/>
      <c r="B23" s="566" t="s">
        <v>38</v>
      </c>
      <c r="C23" s="556">
        <f>'December 2023'!F23</f>
        <v>-1312.42</v>
      </c>
      <c r="D23" s="567"/>
      <c r="E23" s="558">
        <v>195.61</v>
      </c>
      <c r="F23" s="559">
        <f t="shared" si="1"/>
        <v>-1508.0300000000002</v>
      </c>
      <c r="G23" s="541">
        <v>8500</v>
      </c>
      <c r="H23" s="560"/>
      <c r="I23" s="695"/>
      <c r="J23" s="79"/>
    </row>
    <row r="24" spans="1:16" ht="12" x14ac:dyDescent="0.2">
      <c r="A24" s="824" t="s">
        <v>10</v>
      </c>
      <c r="B24" s="825"/>
      <c r="C24" s="551">
        <f>SUM(C25:C33)</f>
        <v>151978.10000000003</v>
      </c>
      <c r="D24" s="568">
        <f>SUM(D25:D33)</f>
        <v>0</v>
      </c>
      <c r="E24" s="569">
        <f>SUM(E25:E33)</f>
        <v>19118.48</v>
      </c>
      <c r="F24" s="569">
        <f>SUM(F25:F33)-0.08</f>
        <v>132859.56000000003</v>
      </c>
      <c r="G24" s="570"/>
      <c r="H24" s="543"/>
      <c r="I24" s="273"/>
      <c r="P24" s="695"/>
    </row>
    <row r="25" spans="1:16" ht="12" hidden="1" x14ac:dyDescent="0.2">
      <c r="A25" s="554"/>
      <c r="B25" s="571" t="s">
        <v>55</v>
      </c>
      <c r="C25" s="556">
        <f>'February 2021'!G24</f>
        <v>0</v>
      </c>
      <c r="D25" s="572"/>
      <c r="E25" s="557"/>
      <c r="F25" s="573">
        <f>C25+D25-E25</f>
        <v>0</v>
      </c>
      <c r="G25" s="534"/>
      <c r="H25" s="543"/>
      <c r="I25" s="695"/>
      <c r="J25" s="319"/>
    </row>
    <row r="26" spans="1:16" ht="12" hidden="1" x14ac:dyDescent="0.2">
      <c r="A26" s="565"/>
      <c r="B26" s="549" t="s">
        <v>70</v>
      </c>
      <c r="C26" s="556">
        <f>'January 2022'!F25</f>
        <v>7.9999999998108251E-2</v>
      </c>
      <c r="D26" s="567"/>
      <c r="E26" s="567"/>
      <c r="F26" s="573">
        <f>C26+D26-E26</f>
        <v>7.9999999998108251E-2</v>
      </c>
      <c r="G26" s="541"/>
      <c r="H26" s="543"/>
      <c r="I26" s="695"/>
      <c r="J26" s="319"/>
    </row>
    <row r="27" spans="1:16" ht="12" hidden="1" x14ac:dyDescent="0.2">
      <c r="A27" s="531"/>
      <c r="B27" s="574" t="s">
        <v>105</v>
      </c>
      <c r="C27" s="556">
        <f>'April 2023'!F26</f>
        <v>-1.9999999992592166E-2</v>
      </c>
      <c r="D27" s="558"/>
      <c r="E27" s="575"/>
      <c r="F27" s="573">
        <f>C27+D27-E27+0.02</f>
        <v>7.4078347622741347E-12</v>
      </c>
      <c r="G27" s="541"/>
      <c r="H27" s="543"/>
      <c r="I27" s="695"/>
      <c r="J27" s="695"/>
    </row>
    <row r="28" spans="1:16" ht="12" hidden="1" x14ac:dyDescent="0.2">
      <c r="A28" s="531"/>
      <c r="B28" s="574" t="s">
        <v>39</v>
      </c>
      <c r="C28" s="556">
        <f>'April 2023'!F27</f>
        <v>8.1854523159563541E-12</v>
      </c>
      <c r="D28" s="567"/>
      <c r="E28" s="558"/>
      <c r="F28" s="573">
        <f t="shared" ref="F28:F32" si="2">C28+D28-E28</f>
        <v>8.1854523159563541E-12</v>
      </c>
      <c r="G28" s="541"/>
      <c r="H28" s="543"/>
      <c r="I28" s="695"/>
      <c r="J28" s="695"/>
    </row>
    <row r="29" spans="1:16" ht="12" x14ac:dyDescent="0.2">
      <c r="A29" s="531"/>
      <c r="B29" s="574" t="s">
        <v>157</v>
      </c>
      <c r="C29" s="556">
        <f>'December 2023'!F29</f>
        <v>62121.26</v>
      </c>
      <c r="D29" s="567"/>
      <c r="E29" s="567">
        <v>2187.25</v>
      </c>
      <c r="F29" s="573">
        <f t="shared" si="2"/>
        <v>59934.01</v>
      </c>
      <c r="G29" s="541"/>
      <c r="H29" s="543" t="s">
        <v>154</v>
      </c>
      <c r="I29" s="695"/>
      <c r="J29" s="695"/>
    </row>
    <row r="30" spans="1:16" ht="12" hidden="1" x14ac:dyDescent="0.2">
      <c r="A30" s="531"/>
      <c r="B30" s="574" t="s">
        <v>86</v>
      </c>
      <c r="C30" s="556">
        <f>'December 2023'!F30</f>
        <v>-1.9326762412674725E-12</v>
      </c>
      <c r="D30" s="567"/>
      <c r="E30" s="567"/>
      <c r="F30" s="573">
        <f t="shared" si="2"/>
        <v>-1.9326762412674725E-12</v>
      </c>
      <c r="G30" s="541"/>
      <c r="H30" s="543"/>
      <c r="I30" s="695"/>
      <c r="J30" s="695"/>
    </row>
    <row r="31" spans="1:16" ht="12" hidden="1" x14ac:dyDescent="0.2">
      <c r="A31" s="531"/>
      <c r="B31" s="574" t="s">
        <v>101</v>
      </c>
      <c r="C31" s="556">
        <f>'December 2023'!F31</f>
        <v>1.9554136088117957E-11</v>
      </c>
      <c r="D31" s="567"/>
      <c r="E31" s="567"/>
      <c r="F31" s="573">
        <f t="shared" si="2"/>
        <v>1.9554136088117957E-11</v>
      </c>
      <c r="G31" s="541"/>
      <c r="H31" s="543"/>
      <c r="I31" s="695"/>
      <c r="J31" s="695"/>
    </row>
    <row r="32" spans="1:16" ht="12" x14ac:dyDescent="0.2">
      <c r="A32" s="531"/>
      <c r="B32" s="574" t="s">
        <v>119</v>
      </c>
      <c r="C32" s="556">
        <f>'December 2023'!F32</f>
        <v>105072.59</v>
      </c>
      <c r="D32" s="567"/>
      <c r="E32" s="567">
        <v>16901.79</v>
      </c>
      <c r="F32" s="573">
        <f t="shared" si="2"/>
        <v>88170.799999999988</v>
      </c>
      <c r="G32" s="541"/>
      <c r="H32" s="543"/>
      <c r="I32" s="695"/>
      <c r="J32" s="695"/>
    </row>
    <row r="33" spans="1:16" ht="12" x14ac:dyDescent="0.2">
      <c r="A33" s="531"/>
      <c r="B33" s="549" t="s">
        <v>44</v>
      </c>
      <c r="C33" s="556">
        <f>'December 2023'!F33</f>
        <v>-15215.809999999998</v>
      </c>
      <c r="D33" s="567"/>
      <c r="E33" s="558">
        <v>29.44</v>
      </c>
      <c r="F33" s="573">
        <f>C33+D33-E33</f>
        <v>-15245.249999999998</v>
      </c>
      <c r="G33" s="541"/>
      <c r="H33" s="543"/>
      <c r="I33" s="695"/>
      <c r="J33" s="695"/>
    </row>
    <row r="34" spans="1:16" ht="12" x14ac:dyDescent="0.2">
      <c r="A34" s="826" t="s">
        <v>35</v>
      </c>
      <c r="B34" s="827"/>
      <c r="C34" s="551">
        <f>SUM(C35:C41)</f>
        <v>113347.01000000001</v>
      </c>
      <c r="D34" s="568">
        <f>SUM(D35:D41)</f>
        <v>0</v>
      </c>
      <c r="E34" s="569">
        <f>SUM(E35:E41)</f>
        <v>30038.38</v>
      </c>
      <c r="F34" s="569">
        <f>SUM(F35:F41)</f>
        <v>83308.62999999999</v>
      </c>
      <c r="G34" s="570">
        <f>SUM(G35:G38)</f>
        <v>35000</v>
      </c>
      <c r="H34" s="543"/>
      <c r="I34" s="273"/>
      <c r="P34" s="695"/>
    </row>
    <row r="35" spans="1:16" ht="12" x14ac:dyDescent="0.2">
      <c r="A35" s="565"/>
      <c r="B35" s="549" t="s">
        <v>153</v>
      </c>
      <c r="C35" s="714">
        <f>'December 2023'!F35</f>
        <v>47020.590000000004</v>
      </c>
      <c r="D35" s="711"/>
      <c r="E35" s="712">
        <v>4854.6099999999997</v>
      </c>
      <c r="F35" s="715">
        <f>C35+D35-E35</f>
        <v>42165.98</v>
      </c>
      <c r="G35" s="711"/>
      <c r="H35" s="713" t="s">
        <v>154</v>
      </c>
      <c r="I35" s="695"/>
      <c r="J35" s="319"/>
    </row>
    <row r="36" spans="1:16" ht="12" x14ac:dyDescent="0.2">
      <c r="A36" s="565"/>
      <c r="B36" s="549" t="s">
        <v>90</v>
      </c>
      <c r="C36" s="556">
        <f>'December 2023'!F36</f>
        <v>18905.330000000013</v>
      </c>
      <c r="D36" s="576"/>
      <c r="E36" s="577">
        <f>18905.38-0.05</f>
        <v>18905.330000000002</v>
      </c>
      <c r="F36" s="578">
        <f t="shared" ref="F36:F37" si="3">C36+D36-E36</f>
        <v>0</v>
      </c>
      <c r="G36" s="541">
        <v>35000</v>
      </c>
      <c r="H36" s="543"/>
      <c r="I36" s="695"/>
      <c r="J36" s="319"/>
    </row>
    <row r="37" spans="1:16" ht="12" x14ac:dyDescent="0.2">
      <c r="A37" s="565"/>
      <c r="B37" s="549" t="s">
        <v>138</v>
      </c>
      <c r="C37" s="556">
        <f>'December 2023'!F37</f>
        <v>6049</v>
      </c>
      <c r="D37" s="576"/>
      <c r="E37" s="577"/>
      <c r="F37" s="578">
        <f t="shared" si="3"/>
        <v>6049</v>
      </c>
      <c r="G37" s="541"/>
      <c r="H37" s="543"/>
      <c r="I37" s="695"/>
      <c r="J37" s="319"/>
    </row>
    <row r="38" spans="1:16" ht="12" x14ac:dyDescent="0.2">
      <c r="A38" s="565"/>
      <c r="B38" s="579" t="s">
        <v>143</v>
      </c>
      <c r="C38" s="556">
        <f>'December 2023'!F38</f>
        <v>21913.8</v>
      </c>
      <c r="D38" s="576"/>
      <c r="E38" s="558">
        <f>4913.83+971.52</f>
        <v>5885.35</v>
      </c>
      <c r="F38" s="578">
        <f>C38+D38-E38</f>
        <v>16028.449999999999</v>
      </c>
      <c r="G38" s="541"/>
      <c r="H38" s="543"/>
      <c r="I38" s="293"/>
      <c r="J38" s="266"/>
      <c r="P38" s="326"/>
    </row>
    <row r="39" spans="1:16" ht="12" x14ac:dyDescent="0.2">
      <c r="A39" s="699"/>
      <c r="B39" s="699" t="s">
        <v>99</v>
      </c>
      <c r="C39" s="556">
        <f>'December 2023'!F39</f>
        <v>10550</v>
      </c>
      <c r="D39" s="580"/>
      <c r="E39" s="699"/>
      <c r="F39" s="578">
        <f>C39+D39-E39</f>
        <v>10550</v>
      </c>
      <c r="G39" s="699"/>
      <c r="H39" s="699"/>
    </row>
    <row r="40" spans="1:16" ht="12" x14ac:dyDescent="0.2">
      <c r="A40" s="699"/>
      <c r="B40" s="699" t="s">
        <v>131</v>
      </c>
      <c r="C40" s="556">
        <f>'December 2023'!F40</f>
        <v>11084.56</v>
      </c>
      <c r="D40" s="582"/>
      <c r="E40" s="699">
        <v>176.64</v>
      </c>
      <c r="F40" s="578">
        <f>C40+D40-E40</f>
        <v>10907.92</v>
      </c>
      <c r="G40" s="699"/>
      <c r="H40" s="699"/>
    </row>
    <row r="41" spans="1:16" ht="12.75" thickBot="1" x14ac:dyDescent="0.25">
      <c r="A41" s="699"/>
      <c r="B41" s="583" t="s">
        <v>111</v>
      </c>
      <c r="C41" s="556">
        <f>'December 2023'!F41</f>
        <v>-2176.2700000000004</v>
      </c>
      <c r="D41" s="584"/>
      <c r="E41" s="699">
        <v>216.45</v>
      </c>
      <c r="F41" s="578">
        <f>C41+D41-E41</f>
        <v>-2392.7200000000003</v>
      </c>
      <c r="G41" s="699"/>
      <c r="H41" s="699"/>
    </row>
    <row r="42" spans="1:16" ht="12.75" thickBot="1" x14ac:dyDescent="0.25">
      <c r="A42" s="828" t="s">
        <v>11</v>
      </c>
      <c r="B42" s="812"/>
      <c r="C42" s="585">
        <f>C34+C24+C18+C6</f>
        <v>653601.7300000001</v>
      </c>
      <c r="D42" s="627">
        <f>SUM(D24,D18,D6,D34)</f>
        <v>12610.479999999998</v>
      </c>
      <c r="E42" s="587">
        <f>SUM(E24,E18,E6,E34)</f>
        <v>63452.67</v>
      </c>
      <c r="F42" s="588">
        <f>SUM(F24,F18,F6,F34)</f>
        <v>602759.48</v>
      </c>
      <c r="G42" s="589">
        <f>SUM(G6,G18,G24,G34)</f>
        <v>48500</v>
      </c>
      <c r="H42" s="700"/>
      <c r="I42" s="695"/>
      <c r="J42" s="331"/>
    </row>
    <row r="43" spans="1:16" ht="12" hidden="1" x14ac:dyDescent="0.2">
      <c r="A43" s="697"/>
      <c r="B43" s="698"/>
      <c r="C43" s="700">
        <f>SUM(C18:C23)</f>
        <v>-11031.540000000003</v>
      </c>
      <c r="D43" s="700"/>
      <c r="E43" s="700"/>
      <c r="F43" s="700"/>
      <c r="G43" s="593"/>
      <c r="H43" s="700"/>
      <c r="K43" s="694" t="s">
        <v>12</v>
      </c>
      <c r="L43" s="694">
        <v>42.43</v>
      </c>
    </row>
    <row r="44" spans="1:16" ht="12.75" hidden="1" thickBot="1" x14ac:dyDescent="0.25">
      <c r="A44" s="594" t="s">
        <v>25</v>
      </c>
      <c r="B44" s="595"/>
      <c r="C44" s="596" t="e">
        <f>SUM(C42,#REF!)</f>
        <v>#REF!</v>
      </c>
      <c r="D44" s="597" t="e">
        <f>SUM(D42,#REF!)</f>
        <v>#REF!</v>
      </c>
      <c r="E44" s="597" t="e">
        <f>SUM(E42,#REF!)</f>
        <v>#REF!</v>
      </c>
      <c r="F44" s="598" t="e">
        <f>SUM(F42,#REF!)</f>
        <v>#REF!</v>
      </c>
      <c r="G44" s="593"/>
      <c r="H44" s="700"/>
      <c r="I44" s="331"/>
      <c r="J44" s="79">
        <v>206730.35</v>
      </c>
    </row>
    <row r="45" spans="1:16" ht="12.75" thickBot="1" x14ac:dyDescent="0.25">
      <c r="A45" s="699"/>
      <c r="B45" s="599"/>
      <c r="C45" s="700"/>
      <c r="D45" s="700"/>
      <c r="E45" s="700"/>
      <c r="F45" s="700"/>
      <c r="G45" s="593"/>
      <c r="H45" s="600"/>
      <c r="I45" s="331"/>
      <c r="J45" s="79"/>
      <c r="P45" s="695"/>
    </row>
    <row r="46" spans="1:16" ht="12.75" thickBot="1" x14ac:dyDescent="0.25">
      <c r="A46" s="829" t="s">
        <v>13</v>
      </c>
      <c r="B46" s="830"/>
      <c r="C46" s="601" t="s">
        <v>2</v>
      </c>
      <c r="D46" s="601" t="s">
        <v>3</v>
      </c>
      <c r="E46" s="601" t="s">
        <v>27</v>
      </c>
      <c r="F46" s="601" t="s">
        <v>5</v>
      </c>
      <c r="G46" s="602"/>
      <c r="H46" s="603"/>
      <c r="I46" s="343"/>
    </row>
    <row r="47" spans="1:16" ht="12.75" thickBot="1" x14ac:dyDescent="0.25">
      <c r="A47" s="815" t="s">
        <v>14</v>
      </c>
      <c r="B47" s="816"/>
      <c r="C47" s="604">
        <f>'December 2023'!F47</f>
        <v>297.91999999999996</v>
      </c>
      <c r="D47" s="605"/>
      <c r="E47" s="605"/>
      <c r="F47" s="606">
        <f>C47+D47-E47</f>
        <v>297.91999999999996</v>
      </c>
      <c r="G47" s="700"/>
      <c r="H47" s="699"/>
      <c r="I47" s="331"/>
      <c r="J47" s="79"/>
    </row>
    <row r="48" spans="1:16" ht="12.75" thickBot="1" x14ac:dyDescent="0.25">
      <c r="A48" s="831" t="s">
        <v>15</v>
      </c>
      <c r="B48" s="832"/>
      <c r="C48" s="604">
        <f>'December 2023'!F48</f>
        <v>63239.05</v>
      </c>
      <c r="D48" s="607">
        <v>40000</v>
      </c>
      <c r="E48" s="607">
        <v>31491.58</v>
      </c>
      <c r="F48" s="606">
        <f>C48+D48-E48</f>
        <v>71747.47</v>
      </c>
      <c r="G48" s="700"/>
      <c r="H48" s="608"/>
      <c r="I48" s="331"/>
    </row>
    <row r="49" spans="1:16" ht="12.75" thickBot="1" x14ac:dyDescent="0.25">
      <c r="A49" s="609"/>
      <c r="B49" s="610" t="s">
        <v>21</v>
      </c>
      <c r="C49" s="604">
        <f>'December 2023'!F49</f>
        <v>0</v>
      </c>
      <c r="D49" s="611"/>
      <c r="E49" s="611"/>
      <c r="F49" s="606">
        <f t="shared" ref="F49:F52" si="4">C49+D49-E49</f>
        <v>0</v>
      </c>
      <c r="G49" s="700"/>
      <c r="H49" s="608"/>
      <c r="I49" s="79"/>
    </row>
    <row r="50" spans="1:16" ht="12.75" thickBot="1" x14ac:dyDescent="0.25">
      <c r="A50" s="609"/>
      <c r="B50" s="610" t="s">
        <v>40</v>
      </c>
      <c r="C50" s="604">
        <f>'December 2023'!F50</f>
        <v>-1356.8900000000042</v>
      </c>
      <c r="D50" s="612">
        <v>855.45</v>
      </c>
      <c r="E50" s="612">
        <v>40080.949999999997</v>
      </c>
      <c r="F50" s="606">
        <f>C50+D50-E50</f>
        <v>-40582.39</v>
      </c>
      <c r="G50" s="700"/>
      <c r="H50" s="613"/>
      <c r="I50" s="79"/>
    </row>
    <row r="51" spans="1:16" ht="12.75" thickBot="1" x14ac:dyDescent="0.25">
      <c r="A51" s="692"/>
      <c r="B51" s="693" t="s">
        <v>150</v>
      </c>
      <c r="C51" s="604">
        <f>'December 2023'!F51</f>
        <v>150000</v>
      </c>
      <c r="D51" s="612"/>
      <c r="E51" s="612"/>
      <c r="F51" s="606">
        <f>C51+D51-E51</f>
        <v>150000</v>
      </c>
      <c r="G51" s="700"/>
      <c r="H51" s="613"/>
      <c r="I51" s="79"/>
    </row>
    <row r="52" spans="1:16" ht="12.75" thickBot="1" x14ac:dyDescent="0.25">
      <c r="A52" s="815" t="s">
        <v>16</v>
      </c>
      <c r="B52" s="816"/>
      <c r="C52" s="604">
        <f>'December 2023'!F52</f>
        <v>223802.56000000011</v>
      </c>
      <c r="D52" s="614">
        <v>20616.21</v>
      </c>
      <c r="E52" s="614">
        <v>40000</v>
      </c>
      <c r="F52" s="606">
        <f t="shared" si="4"/>
        <v>204418.77000000011</v>
      </c>
      <c r="G52" s="700"/>
      <c r="H52" s="613"/>
      <c r="I52" s="79"/>
    </row>
    <row r="53" spans="1:16" ht="12.75" thickBot="1" x14ac:dyDescent="0.25">
      <c r="A53" s="615" t="s">
        <v>46</v>
      </c>
      <c r="B53" s="616"/>
      <c r="C53" s="604">
        <f>'December 2023'!F53</f>
        <v>217619.09999999992</v>
      </c>
      <c r="D53" s="576">
        <v>285.06</v>
      </c>
      <c r="E53" s="576">
        <f>1000+26.37</f>
        <v>1026.3699999999999</v>
      </c>
      <c r="F53" s="606">
        <f>C53+D53-E53</f>
        <v>216877.78999999992</v>
      </c>
      <c r="G53" s="700"/>
      <c r="H53" s="613"/>
      <c r="I53" s="79"/>
    </row>
    <row r="54" spans="1:16" ht="12.75" thickBot="1" x14ac:dyDescent="0.25">
      <c r="A54" s="811"/>
      <c r="B54" s="812"/>
      <c r="C54" s="617">
        <f>SUM(C47+C48+C52+C53+C50+C49+C51)</f>
        <v>653601.74</v>
      </c>
      <c r="D54" s="618">
        <f>SUM(D47:D53)</f>
        <v>61756.719999999994</v>
      </c>
      <c r="E54" s="618">
        <f>SUM(E47:E53)</f>
        <v>112598.9</v>
      </c>
      <c r="F54" s="606">
        <f>C54+D54-E54</f>
        <v>602759.55999999994</v>
      </c>
      <c r="G54" s="700"/>
      <c r="H54" s="603"/>
      <c r="I54" s="79"/>
      <c r="J54" s="266"/>
    </row>
    <row r="55" spans="1:16" ht="12" x14ac:dyDescent="0.2">
      <c r="A55" s="697"/>
      <c r="B55" s="698"/>
      <c r="C55" s="700">
        <f>C42-C54</f>
        <v>-9.9999998928979039E-3</v>
      </c>
      <c r="D55" s="700"/>
      <c r="E55" s="700"/>
      <c r="F55" s="700">
        <f>F42-F54</f>
        <v>-7.9999999958090484E-2</v>
      </c>
      <c r="G55" s="699"/>
      <c r="H55" s="700"/>
      <c r="I55" s="331"/>
      <c r="J55" s="331"/>
      <c r="K55" s="266"/>
    </row>
    <row r="56" spans="1:16" ht="12" x14ac:dyDescent="0.2">
      <c r="A56" s="699"/>
      <c r="B56" s="599"/>
      <c r="C56" s="700"/>
      <c r="D56" s="700"/>
      <c r="E56" s="700"/>
      <c r="F56" s="700"/>
      <c r="G56" s="700"/>
      <c r="H56" s="700"/>
      <c r="I56" s="331"/>
    </row>
    <row r="57" spans="1:16" ht="12" x14ac:dyDescent="0.2">
      <c r="A57" s="813" t="s">
        <v>17</v>
      </c>
      <c r="B57" s="813"/>
      <c r="C57" s="813"/>
      <c r="D57" s="813"/>
      <c r="E57" s="814" t="s">
        <v>18</v>
      </c>
      <c r="F57" s="814"/>
      <c r="G57" s="700"/>
      <c r="H57" s="700"/>
      <c r="J57" s="331"/>
    </row>
    <row r="58" spans="1:16" ht="12" x14ac:dyDescent="0.2">
      <c r="A58" s="699"/>
      <c r="B58" s="699"/>
      <c r="C58" s="700"/>
      <c r="D58" s="700"/>
      <c r="E58" s="700"/>
      <c r="F58" s="700"/>
      <c r="G58" s="700"/>
      <c r="H58" s="700"/>
    </row>
    <row r="59" spans="1:16" ht="12" x14ac:dyDescent="0.2">
      <c r="A59" s="813" t="s">
        <v>19</v>
      </c>
      <c r="B59" s="813"/>
      <c r="C59" s="813"/>
      <c r="D59" s="813"/>
      <c r="E59" s="814" t="s">
        <v>18</v>
      </c>
      <c r="F59" s="814"/>
      <c r="G59" s="700"/>
      <c r="H59" s="700"/>
    </row>
    <row r="60" spans="1:16" ht="12" x14ac:dyDescent="0.2">
      <c r="A60" s="697"/>
      <c r="B60" s="698"/>
      <c r="C60" s="524"/>
      <c r="D60" s="524"/>
      <c r="E60" s="524"/>
      <c r="F60" s="613"/>
      <c r="G60" s="524"/>
      <c r="H60" s="524"/>
      <c r="I60" s="331"/>
      <c r="J60" s="79"/>
      <c r="P60" s="364"/>
    </row>
    <row r="61" spans="1:16" ht="12" x14ac:dyDescent="0.2">
      <c r="A61" s="699"/>
      <c r="B61" s="599"/>
      <c r="C61" s="603"/>
      <c r="D61" s="603"/>
      <c r="E61" s="603"/>
      <c r="H61" s="699"/>
      <c r="I61" s="331"/>
      <c r="J61" s="343"/>
      <c r="L61" s="266"/>
      <c r="P61" s="364"/>
    </row>
    <row r="62" spans="1:16" x14ac:dyDescent="0.2">
      <c r="B62" s="340"/>
      <c r="C62" s="79"/>
      <c r="D62" s="331"/>
      <c r="J62" s="331"/>
    </row>
  </sheetData>
  <mergeCells count="17">
    <mergeCell ref="A54:B54"/>
    <mergeCell ref="A57:D57"/>
    <mergeCell ref="E57:F57"/>
    <mergeCell ref="A59:D59"/>
    <mergeCell ref="E59:F59"/>
    <mergeCell ref="A52:B52"/>
    <mergeCell ref="A2:G2"/>
    <mergeCell ref="A3:G3"/>
    <mergeCell ref="A5:B5"/>
    <mergeCell ref="A6:B6"/>
    <mergeCell ref="A18:B18"/>
    <mergeCell ref="A24:B24"/>
    <mergeCell ref="A34:B34"/>
    <mergeCell ref="A42:B42"/>
    <mergeCell ref="A46:B46"/>
    <mergeCell ref="A47:B47"/>
    <mergeCell ref="A48:B48"/>
  </mergeCells>
  <pageMargins left="0.7" right="0.7" top="0.75" bottom="0.75" header="0.3" footer="0.3"/>
  <pageSetup scale="82" orientation="portrait" r:id="rId1"/>
  <legacy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4B5B1-EE49-4F08-B7A6-607DB80AB2D4}">
  <sheetPr>
    <pageSetUpPr fitToPage="1"/>
  </sheetPr>
  <dimension ref="A1:R62"/>
  <sheetViews>
    <sheetView topLeftCell="A2" zoomScale="130" zoomScaleNormal="130" workbookViewId="0">
      <selection activeCell="E60" sqref="E60"/>
    </sheetView>
  </sheetViews>
  <sheetFormatPr defaultColWidth="9.140625" defaultRowHeight="11.25" x14ac:dyDescent="0.2"/>
  <cols>
    <col min="1" max="1" width="10.7109375" style="701" customWidth="1"/>
    <col min="2" max="2" width="37.42578125" style="701" customWidth="1"/>
    <col min="3" max="3" width="10" style="701" customWidth="1"/>
    <col min="4" max="4" width="8.85546875" style="701" customWidth="1"/>
    <col min="5" max="6" width="10.28515625" style="701" customWidth="1"/>
    <col min="7" max="7" width="8.85546875" style="701" customWidth="1"/>
    <col min="8" max="8" width="13.85546875" style="701" customWidth="1"/>
    <col min="9" max="9" width="14.7109375" style="701" customWidth="1"/>
    <col min="10" max="10" width="14.5703125" style="701" customWidth="1"/>
    <col min="11" max="11" width="11.28515625" style="701" customWidth="1"/>
    <col min="12" max="15" width="9.140625" style="701"/>
    <col min="16" max="16" width="13" style="701" customWidth="1"/>
    <col min="17" max="16384" width="9.140625" style="701"/>
  </cols>
  <sheetData>
    <row r="1" spans="1:18" hidden="1" x14ac:dyDescent="0.2"/>
    <row r="2" spans="1:18" ht="12" x14ac:dyDescent="0.2">
      <c r="A2" s="817" t="s">
        <v>0</v>
      </c>
      <c r="B2" s="817"/>
      <c r="C2" s="817"/>
      <c r="D2" s="817"/>
      <c r="E2" s="817"/>
      <c r="F2" s="817"/>
      <c r="G2" s="817"/>
      <c r="H2" s="703"/>
    </row>
    <row r="3" spans="1:18" ht="12" x14ac:dyDescent="0.2">
      <c r="A3" s="818" t="s">
        <v>155</v>
      </c>
      <c r="B3" s="818"/>
      <c r="C3" s="818"/>
      <c r="D3" s="818"/>
      <c r="E3" s="818"/>
      <c r="F3" s="818"/>
      <c r="G3" s="818"/>
      <c r="H3" s="526" t="s">
        <v>133</v>
      </c>
      <c r="I3" s="706"/>
    </row>
    <row r="4" spans="1:18" ht="12.75" thickBot="1" x14ac:dyDescent="0.25">
      <c r="A4" s="706"/>
      <c r="B4" s="523" t="s">
        <v>37</v>
      </c>
      <c r="C4" s="706"/>
      <c r="D4" s="706"/>
      <c r="E4" s="706"/>
      <c r="F4" s="524"/>
      <c r="G4" s="706"/>
      <c r="H4" s="530" t="s">
        <v>134</v>
      </c>
    </row>
    <row r="5" spans="1:18" ht="15.75" customHeight="1" x14ac:dyDescent="0.2">
      <c r="A5" s="819" t="s">
        <v>1</v>
      </c>
      <c r="B5" s="820"/>
      <c r="C5" s="525" t="s">
        <v>2</v>
      </c>
      <c r="D5" s="525" t="s">
        <v>3</v>
      </c>
      <c r="E5" s="525" t="s">
        <v>58</v>
      </c>
      <c r="F5" s="525" t="s">
        <v>5</v>
      </c>
      <c r="G5" s="525" t="s">
        <v>6</v>
      </c>
      <c r="H5" s="538" t="s">
        <v>135</v>
      </c>
    </row>
    <row r="6" spans="1:18" ht="12" x14ac:dyDescent="0.2">
      <c r="A6" s="821" t="s">
        <v>132</v>
      </c>
      <c r="B6" s="822"/>
      <c r="C6" s="527">
        <f>SUM(C7:C17)</f>
        <v>393038.77</v>
      </c>
      <c r="D6" s="528">
        <f>SUM(D7:D17)</f>
        <v>2370.67</v>
      </c>
      <c r="E6" s="528">
        <f>SUM(E7:E17)</f>
        <v>-2725.4500000000007</v>
      </c>
      <c r="F6" s="528">
        <f>SUM(F7:F17)</f>
        <v>398134.89</v>
      </c>
      <c r="G6" s="529">
        <f>SUM(G7:G15)</f>
        <v>0</v>
      </c>
      <c r="I6" s="273"/>
      <c r="J6" s="273"/>
      <c r="K6" s="702"/>
      <c r="P6" s="702"/>
      <c r="R6" s="702"/>
    </row>
    <row r="7" spans="1:18" ht="12" customHeight="1" x14ac:dyDescent="0.2">
      <c r="A7" s="531"/>
      <c r="B7" s="532" t="s">
        <v>23</v>
      </c>
      <c r="C7" s="533">
        <f>'January 2024'!F7</f>
        <v>225741.47</v>
      </c>
      <c r="D7" s="534">
        <v>351.67</v>
      </c>
      <c r="E7" s="535">
        <f>1000+5000+944.89+113.28+203.3+2719.19+265-13121.54</f>
        <v>-2875.880000000001</v>
      </c>
      <c r="F7" s="536">
        <f>C7+D7-E7</f>
        <v>228969.02000000002</v>
      </c>
      <c r="G7" s="537"/>
      <c r="I7" s="702"/>
    </row>
    <row r="8" spans="1:18" ht="12" x14ac:dyDescent="0.2">
      <c r="A8" s="539"/>
      <c r="B8" s="540" t="s">
        <v>159</v>
      </c>
      <c r="C8" s="533">
        <f>'January 2024'!F8</f>
        <v>-371.9099999999998</v>
      </c>
      <c r="D8" s="541"/>
      <c r="E8" s="541"/>
      <c r="F8" s="542">
        <f t="shared" ref="F8:F15" si="0">C8+D8-E8</f>
        <v>-371.9099999999998</v>
      </c>
      <c r="G8" s="537"/>
      <c r="H8" s="543"/>
      <c r="I8" s="287"/>
    </row>
    <row r="9" spans="1:18" ht="12" hidden="1" x14ac:dyDescent="0.2">
      <c r="A9" s="539"/>
      <c r="B9" s="544" t="s">
        <v>67</v>
      </c>
      <c r="C9" s="533">
        <f>'January 2024'!F9</f>
        <v>0</v>
      </c>
      <c r="D9" s="541"/>
      <c r="E9" s="541"/>
      <c r="F9" s="536">
        <f t="shared" si="0"/>
        <v>0</v>
      </c>
      <c r="G9" s="537"/>
      <c r="H9" s="543"/>
      <c r="I9" s="289"/>
      <c r="J9" s="702"/>
    </row>
    <row r="10" spans="1:18" ht="12" hidden="1" x14ac:dyDescent="0.2">
      <c r="A10" s="539"/>
      <c r="B10" s="544" t="s">
        <v>41</v>
      </c>
      <c r="C10" s="533">
        <f>'January 2024'!F10</f>
        <v>-1.0000000002037268E-2</v>
      </c>
      <c r="D10" s="545"/>
      <c r="E10" s="545"/>
      <c r="F10" s="542">
        <f t="shared" si="0"/>
        <v>-1.0000000002037268E-2</v>
      </c>
      <c r="G10" s="537"/>
      <c r="H10" s="543"/>
      <c r="I10" s="291"/>
      <c r="J10" s="702"/>
    </row>
    <row r="11" spans="1:18" ht="12" x14ac:dyDescent="0.2">
      <c r="A11" s="539"/>
      <c r="B11" s="544" t="s">
        <v>117</v>
      </c>
      <c r="C11" s="533">
        <f>'January 2024'!F11</f>
        <v>1046</v>
      </c>
      <c r="D11" s="546"/>
      <c r="E11" s="546"/>
      <c r="F11" s="536">
        <f t="shared" si="0"/>
        <v>1046</v>
      </c>
      <c r="G11" s="537"/>
      <c r="H11" s="543"/>
      <c r="I11" s="293"/>
    </row>
    <row r="12" spans="1:18" ht="12" x14ac:dyDescent="0.2">
      <c r="A12" s="539"/>
      <c r="B12" s="544" t="s">
        <v>20</v>
      </c>
      <c r="C12" s="533">
        <f>'January 2024'!F12</f>
        <v>8121.0399999999991</v>
      </c>
      <c r="D12" s="547">
        <f>1619.63+269.46</f>
        <v>1889.0900000000001</v>
      </c>
      <c r="E12" s="547">
        <v>91.55</v>
      </c>
      <c r="F12" s="548">
        <f>C12+D12-E12</f>
        <v>9918.58</v>
      </c>
      <c r="G12" s="537"/>
      <c r="H12" s="543"/>
      <c r="I12" s="702"/>
    </row>
    <row r="13" spans="1:18" ht="12" x14ac:dyDescent="0.2">
      <c r="A13" s="539"/>
      <c r="B13" s="544" t="s">
        <v>22</v>
      </c>
      <c r="C13" s="533">
        <f>'January 2024'!F13</f>
        <v>744.53999999999985</v>
      </c>
      <c r="D13" s="547">
        <v>129.91</v>
      </c>
      <c r="E13" s="547"/>
      <c r="F13" s="548">
        <f>C13+D13-E13</f>
        <v>874.44999999999982</v>
      </c>
      <c r="G13" s="537"/>
      <c r="H13" s="543"/>
      <c r="I13" s="702"/>
    </row>
    <row r="14" spans="1:18" ht="12" x14ac:dyDescent="0.2">
      <c r="A14" s="539"/>
      <c r="B14" s="544" t="s">
        <v>28</v>
      </c>
      <c r="C14" s="533">
        <f>'January 2024'!F14</f>
        <v>-129.75000000000108</v>
      </c>
      <c r="D14" s="547"/>
      <c r="E14" s="547">
        <v>58.88</v>
      </c>
      <c r="F14" s="542">
        <f t="shared" si="0"/>
        <v>-188.63000000000108</v>
      </c>
      <c r="G14" s="537"/>
      <c r="H14" s="543"/>
      <c r="I14" s="702"/>
    </row>
    <row r="15" spans="1:18" ht="12" x14ac:dyDescent="0.2">
      <c r="A15" s="539"/>
      <c r="B15" s="549" t="s">
        <v>42</v>
      </c>
      <c r="C15" s="533">
        <f>'January 2024'!F15</f>
        <v>-516.55999999999995</v>
      </c>
      <c r="D15" s="541"/>
      <c r="E15" s="541"/>
      <c r="F15" s="550">
        <f t="shared" si="0"/>
        <v>-516.55999999999995</v>
      </c>
      <c r="G15" s="537"/>
      <c r="H15" s="543"/>
      <c r="I15" s="702"/>
    </row>
    <row r="16" spans="1:18" ht="12" x14ac:dyDescent="0.2">
      <c r="A16" s="539"/>
      <c r="B16" s="549" t="s">
        <v>43</v>
      </c>
      <c r="C16" s="533">
        <f>'January 2024'!F16</f>
        <v>-86.940000000000623</v>
      </c>
      <c r="D16" s="541"/>
      <c r="E16" s="541"/>
      <c r="F16" s="548">
        <f>C16+D16-E16</f>
        <v>-86.940000000000623</v>
      </c>
      <c r="G16" s="537"/>
      <c r="H16" s="543"/>
      <c r="I16" s="273"/>
      <c r="P16" s="702"/>
    </row>
    <row r="17" spans="1:16" ht="12" x14ac:dyDescent="0.2">
      <c r="A17" s="658"/>
      <c r="B17" s="659" t="s">
        <v>141</v>
      </c>
      <c r="C17" s="533">
        <f>'January 2024'!F17</f>
        <v>158490.89000000001</v>
      </c>
      <c r="D17" s="541"/>
      <c r="E17" s="541"/>
      <c r="F17" s="548">
        <f>C17+D17-E17</f>
        <v>158490.89000000001</v>
      </c>
      <c r="G17" s="537"/>
      <c r="H17" s="543"/>
      <c r="I17" s="273"/>
      <c r="P17" s="702"/>
    </row>
    <row r="18" spans="1:16" ht="12" x14ac:dyDescent="0.2">
      <c r="A18" s="823" t="s">
        <v>53</v>
      </c>
      <c r="B18" s="823"/>
      <c r="C18" s="551">
        <f>SUM(C19:C23)</f>
        <v>-6447.4800000000032</v>
      </c>
      <c r="D18" s="552">
        <f>SUM(D19:D23)</f>
        <v>0</v>
      </c>
      <c r="E18" s="552">
        <f>SUM(E19:E23)</f>
        <v>8286.68</v>
      </c>
      <c r="F18" s="542">
        <f>SUM(F19:F23)</f>
        <v>-14734.160000000002</v>
      </c>
      <c r="G18" s="553">
        <f>SUM(G21+G23+G19)</f>
        <v>13500</v>
      </c>
      <c r="H18" s="543"/>
      <c r="I18" s="273"/>
      <c r="P18" s="702"/>
    </row>
    <row r="19" spans="1:16" ht="12" x14ac:dyDescent="0.2">
      <c r="A19" s="554"/>
      <c r="B19" s="555" t="s">
        <v>9</v>
      </c>
      <c r="C19" s="556">
        <f>'January 2024'!F19</f>
        <v>-1005.8700000000018</v>
      </c>
      <c r="D19" s="557"/>
      <c r="E19" s="558">
        <v>4074.4</v>
      </c>
      <c r="F19" s="559">
        <f>C19+D19-E19</f>
        <v>-5080.2700000000023</v>
      </c>
      <c r="G19" s="541"/>
      <c r="H19" s="560"/>
      <c r="I19" s="702"/>
      <c r="J19" s="79"/>
    </row>
    <row r="20" spans="1:16" ht="12" x14ac:dyDescent="0.2">
      <c r="A20" s="539"/>
      <c r="B20" s="561" t="s">
        <v>8</v>
      </c>
      <c r="C20" s="556">
        <f>'January 2024'!F20</f>
        <v>4889.1900000000005</v>
      </c>
      <c r="D20" s="547"/>
      <c r="E20" s="545">
        <v>1096</v>
      </c>
      <c r="F20" s="559">
        <f>C20+D20-E20</f>
        <v>3793.1900000000005</v>
      </c>
      <c r="G20" s="562"/>
      <c r="H20" s="560"/>
      <c r="I20" s="702"/>
    </row>
    <row r="21" spans="1:16" ht="12" x14ac:dyDescent="0.2">
      <c r="A21" s="539"/>
      <c r="B21" s="563" t="s">
        <v>32</v>
      </c>
      <c r="C21" s="556">
        <f>'January 2024'!F21</f>
        <v>-6544.0300000000007</v>
      </c>
      <c r="D21" s="547"/>
      <c r="E21" s="545">
        <v>586.82000000000005</v>
      </c>
      <c r="F21" s="559">
        <f t="shared" ref="F21:F23" si="1">C21+D21-E21</f>
        <v>-7130.85</v>
      </c>
      <c r="G21" s="564">
        <v>5000</v>
      </c>
      <c r="H21" s="560"/>
      <c r="I21" s="702"/>
    </row>
    <row r="22" spans="1:16" ht="12" x14ac:dyDescent="0.2">
      <c r="A22" s="539"/>
      <c r="B22" s="561" t="s">
        <v>67</v>
      </c>
      <c r="C22" s="556">
        <f>'January 2024'!F22</f>
        <v>-2278.7400000000002</v>
      </c>
      <c r="D22" s="547"/>
      <c r="E22" s="547">
        <v>1942.64</v>
      </c>
      <c r="F22" s="559">
        <f t="shared" si="1"/>
        <v>-4221.38</v>
      </c>
      <c r="G22" s="564"/>
      <c r="H22" s="560"/>
      <c r="I22" s="702"/>
    </row>
    <row r="23" spans="1:16" ht="12" x14ac:dyDescent="0.2">
      <c r="A23" s="565"/>
      <c r="B23" s="566" t="s">
        <v>38</v>
      </c>
      <c r="C23" s="556">
        <f>'January 2024'!F23</f>
        <v>-1508.0300000000002</v>
      </c>
      <c r="D23" s="567"/>
      <c r="E23" s="558">
        <v>586.82000000000005</v>
      </c>
      <c r="F23" s="559">
        <f t="shared" si="1"/>
        <v>-2094.8500000000004</v>
      </c>
      <c r="G23" s="541">
        <v>8500</v>
      </c>
      <c r="H23" s="560"/>
      <c r="I23" s="702"/>
      <c r="J23" s="79"/>
    </row>
    <row r="24" spans="1:16" ht="12" x14ac:dyDescent="0.2">
      <c r="A24" s="824" t="s">
        <v>10</v>
      </c>
      <c r="B24" s="825"/>
      <c r="C24" s="551">
        <f>SUM(C25:C33)</f>
        <v>132859.62000000002</v>
      </c>
      <c r="D24" s="568">
        <f>SUM(D25:D33)</f>
        <v>0</v>
      </c>
      <c r="E24" s="569">
        <f>SUM(E25:E33)</f>
        <v>18507.149999999998</v>
      </c>
      <c r="F24" s="569">
        <f>SUM(F25:F33)-0.08</f>
        <v>114352.41000000003</v>
      </c>
      <c r="G24" s="570"/>
      <c r="H24" s="543"/>
      <c r="I24" s="273"/>
      <c r="P24" s="702"/>
    </row>
    <row r="25" spans="1:16" ht="12" hidden="1" x14ac:dyDescent="0.2">
      <c r="A25" s="554"/>
      <c r="B25" s="571" t="s">
        <v>55</v>
      </c>
      <c r="C25" s="556">
        <f>'February 2021'!G24</f>
        <v>0</v>
      </c>
      <c r="D25" s="572"/>
      <c r="E25" s="557"/>
      <c r="F25" s="573">
        <f>C25+D25-E25</f>
        <v>0</v>
      </c>
      <c r="G25" s="534"/>
      <c r="H25" s="543"/>
      <c r="I25" s="702"/>
      <c r="J25" s="319"/>
    </row>
    <row r="26" spans="1:16" ht="12" hidden="1" x14ac:dyDescent="0.2">
      <c r="A26" s="565"/>
      <c r="B26" s="549" t="s">
        <v>70</v>
      </c>
      <c r="C26" s="556">
        <f>'January 2022'!F25</f>
        <v>7.9999999998108251E-2</v>
      </c>
      <c r="D26" s="567"/>
      <c r="E26" s="567"/>
      <c r="F26" s="573">
        <f>C26+D26-E26</f>
        <v>7.9999999998108251E-2</v>
      </c>
      <c r="G26" s="541"/>
      <c r="H26" s="543"/>
      <c r="I26" s="702"/>
      <c r="J26" s="319"/>
    </row>
    <row r="27" spans="1:16" ht="12" hidden="1" x14ac:dyDescent="0.2">
      <c r="A27" s="531"/>
      <c r="B27" s="574" t="s">
        <v>105</v>
      </c>
      <c r="C27" s="556">
        <f>'April 2023'!F26</f>
        <v>-1.9999999992592166E-2</v>
      </c>
      <c r="D27" s="558"/>
      <c r="E27" s="575"/>
      <c r="F27" s="573">
        <f>C27+D27-E27+0.02</f>
        <v>7.4078347622741347E-12</v>
      </c>
      <c r="G27" s="541"/>
      <c r="H27" s="543"/>
      <c r="I27" s="702"/>
      <c r="J27" s="702"/>
    </row>
    <row r="28" spans="1:16" ht="12" hidden="1" x14ac:dyDescent="0.2">
      <c r="A28" s="531"/>
      <c r="B28" s="574" t="s">
        <v>39</v>
      </c>
      <c r="C28" s="556">
        <f>'April 2023'!F27</f>
        <v>8.1854523159563541E-12</v>
      </c>
      <c r="D28" s="567"/>
      <c r="E28" s="558"/>
      <c r="F28" s="573">
        <f t="shared" ref="F28:F32" si="2">C28+D28-E28</f>
        <v>8.1854523159563541E-12</v>
      </c>
      <c r="G28" s="541"/>
      <c r="H28" s="543"/>
      <c r="I28" s="702"/>
      <c r="J28" s="702"/>
    </row>
    <row r="29" spans="1:16" ht="12" x14ac:dyDescent="0.2">
      <c r="A29" s="531"/>
      <c r="B29" s="574" t="s">
        <v>152</v>
      </c>
      <c r="C29" s="556">
        <f>'January 2024'!F29</f>
        <v>59934.01</v>
      </c>
      <c r="D29" s="567"/>
      <c r="E29" s="567"/>
      <c r="F29" s="573">
        <f t="shared" si="2"/>
        <v>59934.01</v>
      </c>
      <c r="G29" s="541"/>
      <c r="H29" s="543"/>
      <c r="I29" s="702"/>
      <c r="J29" s="702"/>
    </row>
    <row r="30" spans="1:16" ht="12" hidden="1" x14ac:dyDescent="0.2">
      <c r="A30" s="531"/>
      <c r="B30" s="574" t="s">
        <v>86</v>
      </c>
      <c r="C30" s="556">
        <f>'January 2024'!F30</f>
        <v>-1.9326762412674725E-12</v>
      </c>
      <c r="D30" s="567"/>
      <c r="E30" s="567"/>
      <c r="F30" s="573">
        <f t="shared" si="2"/>
        <v>-1.9326762412674725E-12</v>
      </c>
      <c r="G30" s="541"/>
      <c r="H30" s="543"/>
      <c r="I30" s="702"/>
      <c r="J30" s="702"/>
    </row>
    <row r="31" spans="1:16" ht="12" hidden="1" x14ac:dyDescent="0.2">
      <c r="A31" s="531"/>
      <c r="B31" s="574" t="s">
        <v>101</v>
      </c>
      <c r="C31" s="556">
        <f>'January 2024'!F31</f>
        <v>1.9554136088117957E-11</v>
      </c>
      <c r="D31" s="567"/>
      <c r="E31" s="567"/>
      <c r="F31" s="573">
        <f t="shared" si="2"/>
        <v>1.9554136088117957E-11</v>
      </c>
      <c r="G31" s="541"/>
      <c r="H31" s="543"/>
      <c r="I31" s="702"/>
      <c r="J31" s="702"/>
    </row>
    <row r="32" spans="1:16" ht="12" x14ac:dyDescent="0.2">
      <c r="A32" s="531"/>
      <c r="B32" s="574" t="s">
        <v>119</v>
      </c>
      <c r="C32" s="556">
        <f>'January 2024'!F32</f>
        <v>88170.799999999988</v>
      </c>
      <c r="D32" s="567"/>
      <c r="E32" s="567">
        <v>18170.939999999999</v>
      </c>
      <c r="F32" s="573">
        <f t="shared" si="2"/>
        <v>69999.859999999986</v>
      </c>
      <c r="G32" s="541"/>
      <c r="H32" s="543"/>
      <c r="I32" s="702"/>
      <c r="J32" s="702"/>
    </row>
    <row r="33" spans="1:16" ht="12" x14ac:dyDescent="0.2">
      <c r="A33" s="531"/>
      <c r="B33" s="549" t="s">
        <v>44</v>
      </c>
      <c r="C33" s="556">
        <f>'January 2024'!F33</f>
        <v>-15245.249999999998</v>
      </c>
      <c r="D33" s="567"/>
      <c r="E33" s="558">
        <v>336.21</v>
      </c>
      <c r="F33" s="573">
        <f>C33+D33-E33</f>
        <v>-15581.459999999997</v>
      </c>
      <c r="G33" s="541"/>
      <c r="H33" s="543"/>
      <c r="I33" s="702"/>
      <c r="J33" s="702"/>
    </row>
    <row r="34" spans="1:16" ht="12" x14ac:dyDescent="0.2">
      <c r="A34" s="826" t="s">
        <v>35</v>
      </c>
      <c r="B34" s="827"/>
      <c r="C34" s="551">
        <f>SUM(C35:C41)</f>
        <v>83308.62999999999</v>
      </c>
      <c r="D34" s="568">
        <f>SUM(D35:D41)</f>
        <v>17176.16</v>
      </c>
      <c r="E34" s="569">
        <f>SUM(E35:E41)</f>
        <v>887.36</v>
      </c>
      <c r="F34" s="569">
        <f>SUM(F35:F41)</f>
        <v>99597.430000000008</v>
      </c>
      <c r="G34" s="570">
        <f>SUM(G35:G38)</f>
        <v>0</v>
      </c>
      <c r="H34" s="543"/>
      <c r="I34" s="273"/>
      <c r="P34" s="702"/>
    </row>
    <row r="35" spans="1:16" ht="15" x14ac:dyDescent="0.25">
      <c r="A35" s="565"/>
      <c r="B35" s="549" t="s">
        <v>153</v>
      </c>
      <c r="C35" s="708">
        <f>'January 2024'!F35</f>
        <v>42165.98</v>
      </c>
      <c r="D35" s="709"/>
      <c r="E35" s="717">
        <v>106.7</v>
      </c>
      <c r="F35" s="711">
        <f>C35+D35-E35</f>
        <v>42059.280000000006</v>
      </c>
      <c r="G35" s="709"/>
      <c r="H35" s="710"/>
      <c r="I35" s="702"/>
      <c r="J35" s="319"/>
    </row>
    <row r="36" spans="1:16" ht="12" x14ac:dyDescent="0.2">
      <c r="A36" s="565"/>
      <c r="B36" s="549" t="s">
        <v>90</v>
      </c>
      <c r="C36" s="708">
        <f>'January 2024'!F36</f>
        <v>0</v>
      </c>
      <c r="D36" s="576"/>
      <c r="E36" s="577"/>
      <c r="F36" s="578">
        <f t="shared" ref="F36:F37" si="3">C36+D36-E36</f>
        <v>0</v>
      </c>
      <c r="G36" s="541"/>
      <c r="H36" s="543"/>
      <c r="I36" s="702"/>
      <c r="J36" s="319"/>
    </row>
    <row r="37" spans="1:16" ht="12" x14ac:dyDescent="0.2">
      <c r="A37" s="565"/>
      <c r="B37" s="549" t="s">
        <v>138</v>
      </c>
      <c r="C37" s="708">
        <f>'January 2024'!F37</f>
        <v>6049</v>
      </c>
      <c r="D37" s="576"/>
      <c r="E37" s="577"/>
      <c r="F37" s="578">
        <f t="shared" si="3"/>
        <v>6049</v>
      </c>
      <c r="G37" s="541"/>
      <c r="H37" s="543"/>
      <c r="I37" s="702"/>
      <c r="J37" s="319"/>
    </row>
    <row r="38" spans="1:16" ht="12" x14ac:dyDescent="0.2">
      <c r="A38" s="565"/>
      <c r="B38" s="579" t="s">
        <v>156</v>
      </c>
      <c r="C38" s="708">
        <f>'January 2024'!F38</f>
        <v>16028.449999999999</v>
      </c>
      <c r="D38" s="576">
        <v>10000</v>
      </c>
      <c r="E38" s="558">
        <v>378.97</v>
      </c>
      <c r="F38" s="578">
        <f>C38+D38-E38</f>
        <v>25649.479999999996</v>
      </c>
      <c r="G38" s="541"/>
      <c r="H38" s="543"/>
      <c r="I38" s="293"/>
      <c r="J38" s="266"/>
      <c r="P38" s="326"/>
    </row>
    <row r="39" spans="1:16" ht="12" x14ac:dyDescent="0.2">
      <c r="A39" s="706"/>
      <c r="B39" s="706" t="s">
        <v>99</v>
      </c>
      <c r="C39" s="708">
        <f>'January 2024'!F39</f>
        <v>10550</v>
      </c>
      <c r="D39" s="580">
        <v>5000</v>
      </c>
      <c r="E39" s="706"/>
      <c r="F39" s="578">
        <f>C39+D39-E39</f>
        <v>15550</v>
      </c>
      <c r="G39" s="706"/>
      <c r="H39" s="706"/>
    </row>
    <row r="40" spans="1:16" ht="12" x14ac:dyDescent="0.2">
      <c r="A40" s="706"/>
      <c r="B40" s="706" t="s">
        <v>131</v>
      </c>
      <c r="C40" s="708">
        <f>'January 2024'!F40</f>
        <v>10907.92</v>
      </c>
      <c r="D40" s="582"/>
      <c r="E40" s="706">
        <v>401.69</v>
      </c>
      <c r="F40" s="578">
        <f>C40+D40-E40</f>
        <v>10506.23</v>
      </c>
      <c r="G40" s="706"/>
      <c r="H40" s="706"/>
    </row>
    <row r="41" spans="1:16" ht="12.75" thickBot="1" x14ac:dyDescent="0.25">
      <c r="A41" s="706"/>
      <c r="B41" s="583" t="s">
        <v>111</v>
      </c>
      <c r="C41" s="708">
        <f>'January 2024'!F41</f>
        <v>-2392.7200000000003</v>
      </c>
      <c r="D41" s="584">
        <v>2176.16</v>
      </c>
      <c r="E41" s="706"/>
      <c r="F41" s="578">
        <f>C41+D41-E41</f>
        <v>-216.5600000000004</v>
      </c>
      <c r="G41" s="706"/>
      <c r="H41" s="706"/>
    </row>
    <row r="42" spans="1:16" ht="12.75" thickBot="1" x14ac:dyDescent="0.25">
      <c r="A42" s="828" t="s">
        <v>11</v>
      </c>
      <c r="B42" s="812"/>
      <c r="C42" s="585">
        <f>C34+C24+C18+C6</f>
        <v>602759.54</v>
      </c>
      <c r="D42" s="627">
        <f>SUM(D24,D18,D6,D34)</f>
        <v>19546.830000000002</v>
      </c>
      <c r="E42" s="587">
        <f>SUM(E24,E18,E6,E34)</f>
        <v>24955.739999999998</v>
      </c>
      <c r="F42" s="588">
        <f>SUM(F24,F18,F6,F34)</f>
        <v>597350.57000000007</v>
      </c>
      <c r="G42" s="589">
        <f>SUM(G6,G18,G24,G34)</f>
        <v>13500</v>
      </c>
      <c r="H42" s="707"/>
      <c r="I42" s="702"/>
      <c r="J42" s="331"/>
    </row>
    <row r="43" spans="1:16" ht="12" hidden="1" x14ac:dyDescent="0.2">
      <c r="A43" s="704"/>
      <c r="B43" s="705"/>
      <c r="C43" s="707">
        <f>SUM(C18:C23)</f>
        <v>-12894.960000000006</v>
      </c>
      <c r="D43" s="707"/>
      <c r="E43" s="707"/>
      <c r="F43" s="707"/>
      <c r="G43" s="593"/>
      <c r="H43" s="707"/>
      <c r="K43" s="701" t="s">
        <v>12</v>
      </c>
      <c r="L43" s="701">
        <v>42.43</v>
      </c>
    </row>
    <row r="44" spans="1:16" ht="12.75" hidden="1" thickBot="1" x14ac:dyDescent="0.25">
      <c r="A44" s="594" t="s">
        <v>25</v>
      </c>
      <c r="B44" s="595"/>
      <c r="C44" s="596" t="e">
        <f>SUM(C42,#REF!)</f>
        <v>#REF!</v>
      </c>
      <c r="D44" s="597" t="e">
        <f>SUM(D42,#REF!)</f>
        <v>#REF!</v>
      </c>
      <c r="E44" s="597" t="e">
        <f>SUM(E42,#REF!)</f>
        <v>#REF!</v>
      </c>
      <c r="F44" s="598" t="e">
        <f>SUM(F42,#REF!)</f>
        <v>#REF!</v>
      </c>
      <c r="G44" s="593"/>
      <c r="H44" s="707"/>
      <c r="I44" s="331"/>
      <c r="J44" s="79">
        <v>206730.35</v>
      </c>
    </row>
    <row r="45" spans="1:16" ht="12.75" thickBot="1" x14ac:dyDescent="0.25">
      <c r="A45" s="706"/>
      <c r="B45" s="599"/>
      <c r="C45" s="707"/>
      <c r="D45" s="707"/>
      <c r="E45" s="707"/>
      <c r="F45" s="707"/>
      <c r="G45" s="593"/>
      <c r="H45" s="600"/>
      <c r="I45" s="331"/>
      <c r="J45" s="79"/>
      <c r="P45" s="702"/>
    </row>
    <row r="46" spans="1:16" ht="12.75" thickBot="1" x14ac:dyDescent="0.25">
      <c r="A46" s="829" t="s">
        <v>13</v>
      </c>
      <c r="B46" s="830"/>
      <c r="C46" s="601" t="s">
        <v>2</v>
      </c>
      <c r="D46" s="601" t="s">
        <v>3</v>
      </c>
      <c r="E46" s="601" t="s">
        <v>27</v>
      </c>
      <c r="F46" s="601" t="s">
        <v>5</v>
      </c>
      <c r="G46" s="602"/>
      <c r="H46" s="603"/>
      <c r="I46" s="343"/>
    </row>
    <row r="47" spans="1:16" ht="12.75" thickBot="1" x14ac:dyDescent="0.25">
      <c r="A47" s="815" t="s">
        <v>14</v>
      </c>
      <c r="B47" s="816"/>
      <c r="C47" s="604">
        <f>'January 2024'!F47</f>
        <v>297.91999999999996</v>
      </c>
      <c r="D47" s="605"/>
      <c r="E47" s="605"/>
      <c r="F47" s="606">
        <f>C47+D47-E47</f>
        <v>297.91999999999996</v>
      </c>
      <c r="G47" s="707"/>
      <c r="H47" s="706"/>
      <c r="I47" s="331"/>
      <c r="J47" s="79"/>
    </row>
    <row r="48" spans="1:16" ht="12.75" thickBot="1" x14ac:dyDescent="0.25">
      <c r="A48" s="831" t="s">
        <v>15</v>
      </c>
      <c r="B48" s="832"/>
      <c r="C48" s="604">
        <f>'January 2024'!F48+0.04</f>
        <v>71747.509999999995</v>
      </c>
      <c r="D48" s="607"/>
      <c r="E48" s="607">
        <v>58643.18</v>
      </c>
      <c r="F48" s="606">
        <f>C48+D48-E48</f>
        <v>13104.329999999994</v>
      </c>
      <c r="G48" s="707"/>
      <c r="H48" s="608"/>
      <c r="I48" s="331"/>
    </row>
    <row r="49" spans="1:16" ht="12.75" thickBot="1" x14ac:dyDescent="0.25">
      <c r="A49" s="609"/>
      <c r="B49" s="610" t="s">
        <v>21</v>
      </c>
      <c r="C49" s="604">
        <f>'January 2024'!F49</f>
        <v>0</v>
      </c>
      <c r="D49" s="611"/>
      <c r="E49" s="611"/>
      <c r="F49" s="606">
        <f t="shared" ref="F49:F52" si="4">C49+D49-E49</f>
        <v>0</v>
      </c>
      <c r="G49" s="707"/>
      <c r="H49" s="608"/>
      <c r="I49" s="79"/>
    </row>
    <row r="50" spans="1:16" ht="12.75" thickBot="1" x14ac:dyDescent="0.25">
      <c r="A50" s="609"/>
      <c r="B50" s="610" t="s">
        <v>40</v>
      </c>
      <c r="C50" s="604">
        <f>'January 2024'!F50</f>
        <v>-40582.39</v>
      </c>
      <c r="D50" s="612">
        <v>39815.910000000003</v>
      </c>
      <c r="E50" s="612">
        <v>128.49</v>
      </c>
      <c r="F50" s="606">
        <f>C50+D50-E50-0.04</f>
        <v>-895.0099999999959</v>
      </c>
      <c r="G50" s="707"/>
      <c r="H50" s="613"/>
      <c r="I50" s="79"/>
    </row>
    <row r="51" spans="1:16" ht="12.75" thickBot="1" x14ac:dyDescent="0.25">
      <c r="A51" s="692"/>
      <c r="B51" s="693" t="s">
        <v>150</v>
      </c>
      <c r="C51" s="604">
        <f>'January 2024'!F51</f>
        <v>150000</v>
      </c>
      <c r="D51" s="612"/>
      <c r="E51" s="612"/>
      <c r="F51" s="606">
        <f>C51+D51-E51</f>
        <v>150000</v>
      </c>
      <c r="G51" s="707"/>
      <c r="H51" s="613"/>
      <c r="I51" s="79"/>
    </row>
    <row r="52" spans="1:16" ht="12.75" thickBot="1" x14ac:dyDescent="0.25">
      <c r="A52" s="815" t="s">
        <v>16</v>
      </c>
      <c r="B52" s="816"/>
      <c r="C52" s="604">
        <f>'January 2024'!F52</f>
        <v>204418.77000000011</v>
      </c>
      <c r="D52" s="614">
        <v>14279.8</v>
      </c>
      <c r="E52" s="614"/>
      <c r="F52" s="606">
        <f t="shared" si="4"/>
        <v>218698.57000000009</v>
      </c>
      <c r="G52" s="707"/>
      <c r="H52" s="613"/>
      <c r="I52" s="79"/>
    </row>
    <row r="53" spans="1:16" ht="12.75" thickBot="1" x14ac:dyDescent="0.25">
      <c r="A53" s="615" t="s">
        <v>46</v>
      </c>
      <c r="B53" s="616"/>
      <c r="C53" s="604">
        <f>'January 2024'!F53</f>
        <v>216877.78999999992</v>
      </c>
      <c r="D53" s="576">
        <v>267.02999999999997</v>
      </c>
      <c r="E53" s="576">
        <f>1000</f>
        <v>1000</v>
      </c>
      <c r="F53" s="606">
        <f>C53+D53-E53</f>
        <v>216144.81999999992</v>
      </c>
      <c r="G53" s="707"/>
      <c r="H53" s="613"/>
      <c r="I53" s="79"/>
    </row>
    <row r="54" spans="1:16" ht="12.75" thickBot="1" x14ac:dyDescent="0.25">
      <c r="A54" s="811"/>
      <c r="B54" s="812"/>
      <c r="C54" s="617">
        <f>SUM(C47+C48+C52+C53+C50+C49+C51)</f>
        <v>602759.6</v>
      </c>
      <c r="D54" s="618">
        <f>SUM(D47:D53)</f>
        <v>54362.740000000005</v>
      </c>
      <c r="E54" s="618">
        <f>SUM(E47:E53)</f>
        <v>59771.67</v>
      </c>
      <c r="F54" s="606">
        <f>C54+D54-E54</f>
        <v>597350.66999999993</v>
      </c>
      <c r="G54" s="707"/>
      <c r="H54" s="603"/>
      <c r="I54" s="79"/>
      <c r="J54" s="266"/>
    </row>
    <row r="55" spans="1:16" ht="12" x14ac:dyDescent="0.2">
      <c r="A55" s="704"/>
      <c r="B55" s="705"/>
      <c r="C55" s="707">
        <f>C42-C54</f>
        <v>-5.9999999939464033E-2</v>
      </c>
      <c r="D55" s="707"/>
      <c r="E55" s="707"/>
      <c r="F55" s="707">
        <f>F42-F54</f>
        <v>-9.9999999860301614E-2</v>
      </c>
      <c r="G55" s="706"/>
      <c r="H55" s="707"/>
      <c r="I55" s="331"/>
      <c r="J55" s="331"/>
      <c r="K55" s="266"/>
    </row>
    <row r="56" spans="1:16" ht="12" x14ac:dyDescent="0.2">
      <c r="A56" s="706"/>
      <c r="B56" s="599"/>
      <c r="C56" s="707"/>
      <c r="D56" s="707"/>
      <c r="E56" s="707"/>
      <c r="F56" s="707"/>
      <c r="G56" s="707"/>
      <c r="H56" s="707"/>
      <c r="I56" s="331"/>
    </row>
    <row r="57" spans="1:16" ht="12" x14ac:dyDescent="0.2">
      <c r="A57" s="813" t="s">
        <v>17</v>
      </c>
      <c r="B57" s="813"/>
      <c r="C57" s="813"/>
      <c r="D57" s="813"/>
      <c r="E57" s="814" t="s">
        <v>18</v>
      </c>
      <c r="F57" s="814"/>
      <c r="G57" s="707"/>
      <c r="H57" s="707"/>
      <c r="J57" s="331"/>
    </row>
    <row r="58" spans="1:16" ht="12" x14ac:dyDescent="0.2">
      <c r="A58" s="706"/>
      <c r="B58" s="706"/>
      <c r="C58" s="707"/>
      <c r="D58" s="707"/>
      <c r="E58" s="707"/>
      <c r="F58" s="707"/>
      <c r="G58" s="707"/>
      <c r="H58" s="707"/>
    </row>
    <row r="59" spans="1:16" ht="12" x14ac:dyDescent="0.2">
      <c r="A59" s="813" t="s">
        <v>19</v>
      </c>
      <c r="B59" s="813"/>
      <c r="C59" s="813"/>
      <c r="D59" s="813"/>
      <c r="E59" s="814" t="s">
        <v>18</v>
      </c>
      <c r="F59" s="814"/>
      <c r="G59" s="707"/>
      <c r="H59" s="707"/>
    </row>
    <row r="60" spans="1:16" ht="12" x14ac:dyDescent="0.2">
      <c r="A60" s="704"/>
      <c r="B60" s="705"/>
      <c r="C60" s="524"/>
      <c r="D60" s="524"/>
      <c r="E60" s="524"/>
      <c r="F60" s="613"/>
      <c r="G60" s="524"/>
      <c r="H60" s="524"/>
      <c r="I60" s="331"/>
      <c r="J60" s="79"/>
      <c r="P60" s="364"/>
    </row>
    <row r="61" spans="1:16" ht="12" x14ac:dyDescent="0.2">
      <c r="A61" s="706"/>
      <c r="B61" s="599"/>
      <c r="C61" s="603"/>
      <c r="D61" s="603"/>
      <c r="E61" s="603"/>
      <c r="H61" s="706"/>
      <c r="I61" s="331"/>
      <c r="J61" s="343"/>
      <c r="L61" s="266"/>
      <c r="P61" s="364"/>
    </row>
    <row r="62" spans="1:16" x14ac:dyDescent="0.2">
      <c r="B62" s="340"/>
      <c r="C62" s="79"/>
      <c r="D62" s="331"/>
      <c r="J62" s="331"/>
    </row>
  </sheetData>
  <mergeCells count="17">
    <mergeCell ref="A54:B54"/>
    <mergeCell ref="A57:D57"/>
    <mergeCell ref="E57:F57"/>
    <mergeCell ref="A59:D59"/>
    <mergeCell ref="E59:F59"/>
    <mergeCell ref="A52:B52"/>
    <mergeCell ref="A2:G2"/>
    <mergeCell ref="A3:G3"/>
    <mergeCell ref="A5:B5"/>
    <mergeCell ref="A6:B6"/>
    <mergeCell ref="A18:B18"/>
    <mergeCell ref="A24:B24"/>
    <mergeCell ref="A34:B34"/>
    <mergeCell ref="A42:B42"/>
    <mergeCell ref="A46:B46"/>
    <mergeCell ref="A47:B47"/>
    <mergeCell ref="A48:B48"/>
  </mergeCells>
  <pageMargins left="0.7" right="0.7" top="0.75" bottom="0.75" header="0.3" footer="0.3"/>
  <pageSetup scale="82" orientation="portrait" r:id="rId1"/>
  <legacy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F5919-D718-478A-9314-AC6FBDA4504F}">
  <sheetPr>
    <pageSetUpPr fitToPage="1"/>
  </sheetPr>
  <dimension ref="A1:R62"/>
  <sheetViews>
    <sheetView topLeftCell="A2" zoomScale="130" zoomScaleNormal="130" workbookViewId="0">
      <selection activeCell="C21" sqref="C21"/>
    </sheetView>
  </sheetViews>
  <sheetFormatPr defaultColWidth="9.140625" defaultRowHeight="11.25" x14ac:dyDescent="0.2"/>
  <cols>
    <col min="1" max="1" width="10.7109375" style="719" customWidth="1"/>
    <col min="2" max="2" width="37.42578125" style="719" customWidth="1"/>
    <col min="3" max="3" width="10" style="719" customWidth="1"/>
    <col min="4" max="4" width="8.85546875" style="719" customWidth="1"/>
    <col min="5" max="6" width="10.28515625" style="719" customWidth="1"/>
    <col min="7" max="7" width="8.85546875" style="719" customWidth="1"/>
    <col min="8" max="8" width="13.85546875" style="719" customWidth="1"/>
    <col min="9" max="9" width="14.7109375" style="719" customWidth="1"/>
    <col min="10" max="10" width="14.5703125" style="719" customWidth="1"/>
    <col min="11" max="11" width="11.28515625" style="719" customWidth="1"/>
    <col min="12" max="15" width="9.140625" style="719"/>
    <col min="16" max="16" width="13" style="719" customWidth="1"/>
    <col min="17" max="16384" width="9.140625" style="719"/>
  </cols>
  <sheetData>
    <row r="1" spans="1:18" hidden="1" x14ac:dyDescent="0.2"/>
    <row r="2" spans="1:18" ht="12" x14ac:dyDescent="0.2">
      <c r="A2" s="817" t="s">
        <v>0</v>
      </c>
      <c r="B2" s="817"/>
      <c r="C2" s="817"/>
      <c r="D2" s="817"/>
      <c r="E2" s="817"/>
      <c r="F2" s="817"/>
      <c r="G2" s="817"/>
      <c r="H2" s="724"/>
    </row>
    <row r="3" spans="1:18" ht="12" x14ac:dyDescent="0.2">
      <c r="A3" s="818" t="s">
        <v>160</v>
      </c>
      <c r="B3" s="818"/>
      <c r="C3" s="818"/>
      <c r="D3" s="818"/>
      <c r="E3" s="818"/>
      <c r="F3" s="818"/>
      <c r="G3" s="818"/>
      <c r="H3" s="526" t="s">
        <v>133</v>
      </c>
      <c r="I3" s="722"/>
    </row>
    <row r="4" spans="1:18" ht="12.75" thickBot="1" x14ac:dyDescent="0.25">
      <c r="A4" s="722"/>
      <c r="B4" s="523" t="s">
        <v>37</v>
      </c>
      <c r="C4" s="722"/>
      <c r="D4" s="722"/>
      <c r="E4" s="722"/>
      <c r="F4" s="524"/>
      <c r="G4" s="722"/>
      <c r="H4" s="530" t="s">
        <v>134</v>
      </c>
    </row>
    <row r="5" spans="1:18" ht="15.75" customHeight="1" x14ac:dyDescent="0.2">
      <c r="A5" s="819" t="s">
        <v>1</v>
      </c>
      <c r="B5" s="820"/>
      <c r="C5" s="525" t="s">
        <v>2</v>
      </c>
      <c r="D5" s="525" t="s">
        <v>3</v>
      </c>
      <c r="E5" s="525" t="s">
        <v>58</v>
      </c>
      <c r="F5" s="525" t="s">
        <v>5</v>
      </c>
      <c r="G5" s="525" t="s">
        <v>6</v>
      </c>
      <c r="H5" s="538" t="s">
        <v>135</v>
      </c>
    </row>
    <row r="6" spans="1:18" ht="12" x14ac:dyDescent="0.2">
      <c r="A6" s="821" t="s">
        <v>132</v>
      </c>
      <c r="B6" s="822"/>
      <c r="C6" s="527">
        <f>SUM(C7:C17)</f>
        <v>398134.89</v>
      </c>
      <c r="D6" s="528">
        <f>SUM(D7:D17)</f>
        <v>3632.9999999999995</v>
      </c>
      <c r="E6" s="528">
        <f>SUM(E7:E17)</f>
        <v>12796.699999999997</v>
      </c>
      <c r="F6" s="528">
        <f>SUM(F7:F17)</f>
        <v>387028.55</v>
      </c>
      <c r="G6" s="529">
        <f>SUM(G7:G15)</f>
        <v>0</v>
      </c>
      <c r="I6" s="273"/>
      <c r="J6" s="273"/>
      <c r="K6" s="720"/>
      <c r="P6" s="720"/>
      <c r="R6" s="720"/>
    </row>
    <row r="7" spans="1:18" ht="12" customHeight="1" x14ac:dyDescent="0.2">
      <c r="A7" s="531"/>
      <c r="B7" s="532" t="s">
        <v>23</v>
      </c>
      <c r="C7" s="533">
        <f>'February 2024'!F7</f>
        <v>228969.02000000002</v>
      </c>
      <c r="D7" s="534">
        <f>364.99+2000</f>
        <v>2364.9899999999998</v>
      </c>
      <c r="E7" s="535">
        <f>1375+4427.36+1946.27-448.18</f>
        <v>7300.4499999999989</v>
      </c>
      <c r="F7" s="536">
        <f>C7+D7-E7</f>
        <v>224033.56</v>
      </c>
      <c r="G7" s="537"/>
      <c r="I7" s="720"/>
    </row>
    <row r="8" spans="1:18" ht="12" x14ac:dyDescent="0.2">
      <c r="A8" s="539"/>
      <c r="B8" s="540" t="s">
        <v>159</v>
      </c>
      <c r="C8" s="533">
        <f>'February 2024'!F8</f>
        <v>-371.9099999999998</v>
      </c>
      <c r="D8" s="541"/>
      <c r="E8" s="541">
        <f>2278.74+2441.14</f>
        <v>4719.8799999999992</v>
      </c>
      <c r="F8" s="542">
        <f>C8+D8-E8-1942.64</f>
        <v>-7034.4299999999994</v>
      </c>
      <c r="G8" s="537"/>
      <c r="H8" s="543"/>
      <c r="I8" s="287"/>
    </row>
    <row r="9" spans="1:18" ht="12" hidden="1" x14ac:dyDescent="0.2">
      <c r="A9" s="539"/>
      <c r="B9" s="544" t="s">
        <v>67</v>
      </c>
      <c r="C9" s="533">
        <f>'February 2024'!F9</f>
        <v>0</v>
      </c>
      <c r="D9" s="541"/>
      <c r="E9" s="541"/>
      <c r="F9" s="536">
        <f t="shared" ref="F9:F15" si="0">C9+D9-E9</f>
        <v>0</v>
      </c>
      <c r="G9" s="537"/>
      <c r="H9" s="543"/>
      <c r="I9" s="289"/>
      <c r="J9" s="720"/>
    </row>
    <row r="10" spans="1:18" ht="12" hidden="1" x14ac:dyDescent="0.2">
      <c r="A10" s="539"/>
      <c r="B10" s="544" t="s">
        <v>41</v>
      </c>
      <c r="C10" s="533">
        <f>'February 2024'!F10</f>
        <v>-1.0000000002037268E-2</v>
      </c>
      <c r="D10" s="545"/>
      <c r="E10" s="545"/>
      <c r="F10" s="542">
        <f t="shared" si="0"/>
        <v>-1.0000000002037268E-2</v>
      </c>
      <c r="G10" s="537"/>
      <c r="H10" s="543"/>
      <c r="I10" s="291"/>
      <c r="J10" s="720"/>
    </row>
    <row r="11" spans="1:18" ht="12" x14ac:dyDescent="0.2">
      <c r="A11" s="539"/>
      <c r="B11" s="544" t="s">
        <v>117</v>
      </c>
      <c r="C11" s="533">
        <f>'February 2024'!F11</f>
        <v>1046</v>
      </c>
      <c r="D11" s="546"/>
      <c r="E11" s="546">
        <v>270</v>
      </c>
      <c r="F11" s="536">
        <f t="shared" si="0"/>
        <v>776</v>
      </c>
      <c r="G11" s="537"/>
      <c r="H11" s="543"/>
      <c r="I11" s="293"/>
    </row>
    <row r="12" spans="1:18" ht="12" x14ac:dyDescent="0.2">
      <c r="A12" s="539"/>
      <c r="B12" s="544" t="s">
        <v>20</v>
      </c>
      <c r="C12" s="533">
        <f>'February 2024'!F12</f>
        <v>9918.58</v>
      </c>
      <c r="D12" s="547">
        <f>1152.73+33.68</f>
        <v>1186.4100000000001</v>
      </c>
      <c r="E12" s="547">
        <f>18.88+458.51</f>
        <v>477.39</v>
      </c>
      <c r="F12" s="548">
        <f>C12+D12-E12</f>
        <v>10627.6</v>
      </c>
      <c r="G12" s="537"/>
      <c r="H12" s="543"/>
      <c r="I12" s="720"/>
    </row>
    <row r="13" spans="1:18" ht="12" x14ac:dyDescent="0.2">
      <c r="A13" s="539"/>
      <c r="B13" s="544" t="s">
        <v>22</v>
      </c>
      <c r="C13" s="533">
        <f>'February 2024'!F13</f>
        <v>874.44999999999982</v>
      </c>
      <c r="D13" s="547">
        <v>81.599999999999994</v>
      </c>
      <c r="E13" s="547"/>
      <c r="F13" s="548">
        <f>C13+D13-E13</f>
        <v>956.04999999999984</v>
      </c>
      <c r="G13" s="537"/>
      <c r="H13" s="543"/>
      <c r="I13" s="720"/>
    </row>
    <row r="14" spans="1:18" ht="12" x14ac:dyDescent="0.2">
      <c r="A14" s="539"/>
      <c r="B14" s="544" t="s">
        <v>28</v>
      </c>
      <c r="C14" s="533">
        <f>'February 2024'!F14</f>
        <v>-188.63000000000108</v>
      </c>
      <c r="D14" s="547"/>
      <c r="E14" s="547"/>
      <c r="F14" s="542">
        <f t="shared" si="0"/>
        <v>-188.63000000000108</v>
      </c>
      <c r="G14" s="537"/>
      <c r="H14" s="543"/>
      <c r="I14" s="720"/>
    </row>
    <row r="15" spans="1:18" ht="12" x14ac:dyDescent="0.2">
      <c r="A15" s="539"/>
      <c r="B15" s="549" t="s">
        <v>42</v>
      </c>
      <c r="C15" s="533">
        <f>'February 2024'!F15</f>
        <v>-516.55999999999995</v>
      </c>
      <c r="D15" s="541"/>
      <c r="E15" s="541"/>
      <c r="F15" s="550">
        <f t="shared" si="0"/>
        <v>-516.55999999999995</v>
      </c>
      <c r="G15" s="537"/>
      <c r="H15" s="543"/>
      <c r="I15" s="720"/>
    </row>
    <row r="16" spans="1:18" ht="12" x14ac:dyDescent="0.2">
      <c r="A16" s="539"/>
      <c r="B16" s="549" t="s">
        <v>43</v>
      </c>
      <c r="C16" s="533">
        <f>'February 2024'!F16</f>
        <v>-86.940000000000623</v>
      </c>
      <c r="D16" s="541"/>
      <c r="E16" s="541">
        <v>28.98</v>
      </c>
      <c r="F16" s="548">
        <f>C16+D16-E16</f>
        <v>-115.92000000000063</v>
      </c>
      <c r="G16" s="537"/>
      <c r="H16" s="543"/>
      <c r="I16" s="273"/>
      <c r="P16" s="720"/>
    </row>
    <row r="17" spans="1:16" ht="12" x14ac:dyDescent="0.2">
      <c r="A17" s="658"/>
      <c r="B17" s="659" t="s">
        <v>141</v>
      </c>
      <c r="C17" s="533">
        <f>'February 2024'!F17</f>
        <v>158490.89000000001</v>
      </c>
      <c r="D17" s="541"/>
      <c r="E17" s="541"/>
      <c r="F17" s="548">
        <f>C17+D17-E17</f>
        <v>158490.89000000001</v>
      </c>
      <c r="G17" s="537"/>
      <c r="H17" s="543"/>
      <c r="I17" s="273"/>
      <c r="P17" s="720"/>
    </row>
    <row r="18" spans="1:16" ht="12" x14ac:dyDescent="0.2">
      <c r="A18" s="823" t="s">
        <v>53</v>
      </c>
      <c r="B18" s="823"/>
      <c r="C18" s="551">
        <f>SUM(C19:C23)</f>
        <v>-14734.160000000002</v>
      </c>
      <c r="D18" s="552">
        <f>SUM(D19:D23)</f>
        <v>0</v>
      </c>
      <c r="E18" s="552">
        <f>SUM(E19:E23)</f>
        <v>5222.67</v>
      </c>
      <c r="F18" s="542">
        <f>SUM(F19:F23)</f>
        <v>-15735.450000000003</v>
      </c>
      <c r="G18" s="553">
        <f>SUM(G21+G23+G19)</f>
        <v>13500</v>
      </c>
      <c r="H18" s="543"/>
      <c r="I18" s="273"/>
      <c r="P18" s="720"/>
    </row>
    <row r="19" spans="1:16" ht="12" x14ac:dyDescent="0.2">
      <c r="A19" s="554"/>
      <c r="B19" s="555" t="s">
        <v>9</v>
      </c>
      <c r="C19" s="556">
        <f>'February 2024'!F19</f>
        <v>-5080.2700000000023</v>
      </c>
      <c r="D19" s="557"/>
      <c r="E19" s="558">
        <v>2762.95</v>
      </c>
      <c r="F19" s="559">
        <f>C19+D19-E19</f>
        <v>-7843.2200000000021</v>
      </c>
      <c r="G19" s="541"/>
      <c r="H19" s="560"/>
      <c r="I19" s="720"/>
      <c r="J19" s="79"/>
    </row>
    <row r="20" spans="1:16" ht="12" x14ac:dyDescent="0.2">
      <c r="A20" s="539"/>
      <c r="B20" s="561" t="s">
        <v>8</v>
      </c>
      <c r="C20" s="556">
        <f>'February 2024'!F20</f>
        <v>3793.1900000000005</v>
      </c>
      <c r="D20" s="547"/>
      <c r="E20" s="545">
        <v>1339.42</v>
      </c>
      <c r="F20" s="559">
        <f>C20+D20-E20</f>
        <v>2453.7700000000004</v>
      </c>
      <c r="G20" s="562"/>
      <c r="H20" s="560"/>
      <c r="I20" s="720"/>
    </row>
    <row r="21" spans="1:16" ht="12" x14ac:dyDescent="0.2">
      <c r="A21" s="539"/>
      <c r="B21" s="563" t="s">
        <v>32</v>
      </c>
      <c r="C21" s="556">
        <f>'February 2024'!F21</f>
        <v>-7130.85</v>
      </c>
      <c r="D21" s="547"/>
      <c r="E21" s="545">
        <v>302.3</v>
      </c>
      <c r="F21" s="559">
        <f t="shared" ref="F21:F23" si="1">C21+D21-E21</f>
        <v>-7433.1500000000005</v>
      </c>
      <c r="G21" s="564">
        <v>5000</v>
      </c>
      <c r="H21" s="560"/>
      <c r="I21" s="720"/>
    </row>
    <row r="22" spans="1:16" ht="12" hidden="1" x14ac:dyDescent="0.2">
      <c r="A22" s="539"/>
      <c r="B22" s="561"/>
      <c r="C22" s="556">
        <f>'February 2024'!F22</f>
        <v>-4221.38</v>
      </c>
      <c r="D22" s="547"/>
      <c r="E22" s="547"/>
      <c r="F22" s="559"/>
      <c r="G22" s="564"/>
      <c r="H22" s="560"/>
      <c r="I22" s="720"/>
    </row>
    <row r="23" spans="1:16" ht="12" x14ac:dyDescent="0.2">
      <c r="A23" s="565"/>
      <c r="B23" s="566" t="s">
        <v>38</v>
      </c>
      <c r="C23" s="556">
        <f>'February 2024'!F23</f>
        <v>-2094.8500000000004</v>
      </c>
      <c r="D23" s="567"/>
      <c r="E23" s="558">
        <v>818</v>
      </c>
      <c r="F23" s="559">
        <f t="shared" si="1"/>
        <v>-2912.8500000000004</v>
      </c>
      <c r="G23" s="541">
        <v>8500</v>
      </c>
      <c r="H23" s="560"/>
      <c r="I23" s="720"/>
      <c r="J23" s="79"/>
    </row>
    <row r="24" spans="1:16" ht="12" x14ac:dyDescent="0.2">
      <c r="A24" s="824" t="s">
        <v>10</v>
      </c>
      <c r="B24" s="825"/>
      <c r="C24" s="551">
        <f>SUM(C25:C33)</f>
        <v>114352.47000000003</v>
      </c>
      <c r="D24" s="568">
        <f>SUM(D25:D33)</f>
        <v>450</v>
      </c>
      <c r="E24" s="569">
        <f>SUM(E25:E33)</f>
        <v>10418.450000000001</v>
      </c>
      <c r="F24" s="569">
        <f>SUM(F25:F33)-0.08</f>
        <v>104383.96000000002</v>
      </c>
      <c r="G24" s="570"/>
      <c r="H24" s="543"/>
      <c r="I24" s="273"/>
      <c r="P24" s="720"/>
    </row>
    <row r="25" spans="1:16" ht="12" hidden="1" x14ac:dyDescent="0.2">
      <c r="A25" s="554"/>
      <c r="B25" s="571" t="s">
        <v>55</v>
      </c>
      <c r="C25" s="556">
        <f>'February 2021'!G24</f>
        <v>0</v>
      </c>
      <c r="D25" s="572"/>
      <c r="E25" s="557"/>
      <c r="F25" s="573">
        <f>C25+D25-E25</f>
        <v>0</v>
      </c>
      <c r="G25" s="534"/>
      <c r="H25" s="543"/>
      <c r="I25" s="720"/>
      <c r="J25" s="319"/>
    </row>
    <row r="26" spans="1:16" ht="12" hidden="1" x14ac:dyDescent="0.2">
      <c r="A26" s="565"/>
      <c r="B26" s="549" t="s">
        <v>70</v>
      </c>
      <c r="C26" s="556">
        <f>'January 2022'!F25</f>
        <v>7.9999999998108251E-2</v>
      </c>
      <c r="D26" s="567"/>
      <c r="E26" s="567"/>
      <c r="F26" s="573">
        <f>C26+D26-E26</f>
        <v>7.9999999998108251E-2</v>
      </c>
      <c r="G26" s="541"/>
      <c r="H26" s="543"/>
      <c r="I26" s="720"/>
      <c r="J26" s="319"/>
    </row>
    <row r="27" spans="1:16" ht="12" hidden="1" x14ac:dyDescent="0.2">
      <c r="A27" s="531"/>
      <c r="B27" s="574" t="s">
        <v>105</v>
      </c>
      <c r="C27" s="556">
        <f>'April 2023'!F26</f>
        <v>-1.9999999992592166E-2</v>
      </c>
      <c r="D27" s="558"/>
      <c r="E27" s="575"/>
      <c r="F27" s="573">
        <f>C27+D27-E27+0.02</f>
        <v>7.4078347622741347E-12</v>
      </c>
      <c r="G27" s="541"/>
      <c r="H27" s="543"/>
      <c r="I27" s="720"/>
      <c r="J27" s="720"/>
    </row>
    <row r="28" spans="1:16" ht="12" hidden="1" x14ac:dyDescent="0.2">
      <c r="A28" s="531"/>
      <c r="B28" s="574" t="s">
        <v>39</v>
      </c>
      <c r="C28" s="556">
        <f>'April 2023'!F27</f>
        <v>8.1854523159563541E-12</v>
      </c>
      <c r="D28" s="567"/>
      <c r="E28" s="558"/>
      <c r="F28" s="573">
        <f t="shared" ref="F28:F32" si="2">C28+D28-E28</f>
        <v>8.1854523159563541E-12</v>
      </c>
      <c r="G28" s="541"/>
      <c r="H28" s="543"/>
      <c r="I28" s="720"/>
      <c r="J28" s="720"/>
    </row>
    <row r="29" spans="1:16" ht="12" x14ac:dyDescent="0.2">
      <c r="A29" s="531"/>
      <c r="B29" s="574" t="s">
        <v>152</v>
      </c>
      <c r="C29" s="556">
        <f>'February 2024'!F29</f>
        <v>59934.01</v>
      </c>
      <c r="D29" s="567"/>
      <c r="E29" s="567"/>
      <c r="F29" s="573">
        <f t="shared" si="2"/>
        <v>59934.01</v>
      </c>
      <c r="G29" s="541"/>
      <c r="H29" s="543"/>
      <c r="I29" s="720"/>
      <c r="J29" s="720"/>
    </row>
    <row r="30" spans="1:16" ht="12" hidden="1" x14ac:dyDescent="0.2">
      <c r="A30" s="531"/>
      <c r="B30" s="574" t="s">
        <v>86</v>
      </c>
      <c r="C30" s="556">
        <f>'February 2024'!F30</f>
        <v>-1.9326762412674725E-12</v>
      </c>
      <c r="D30" s="567"/>
      <c r="E30" s="567"/>
      <c r="F30" s="573">
        <f t="shared" si="2"/>
        <v>-1.9326762412674725E-12</v>
      </c>
      <c r="G30" s="541"/>
      <c r="H30" s="543"/>
      <c r="I30" s="720"/>
      <c r="J30" s="720"/>
    </row>
    <row r="31" spans="1:16" ht="12" hidden="1" x14ac:dyDescent="0.2">
      <c r="A31" s="531"/>
      <c r="B31" s="574" t="s">
        <v>101</v>
      </c>
      <c r="C31" s="556">
        <f>'February 2024'!F31</f>
        <v>1.9554136088117957E-11</v>
      </c>
      <c r="D31" s="567"/>
      <c r="E31" s="567"/>
      <c r="F31" s="573">
        <f t="shared" si="2"/>
        <v>1.9554136088117957E-11</v>
      </c>
      <c r="G31" s="541"/>
      <c r="H31" s="543"/>
      <c r="I31" s="720"/>
      <c r="J31" s="720"/>
    </row>
    <row r="32" spans="1:16" ht="12" x14ac:dyDescent="0.2">
      <c r="A32" s="531"/>
      <c r="B32" s="574" t="s">
        <v>119</v>
      </c>
      <c r="C32" s="556">
        <f>'February 2024'!F32</f>
        <v>69999.859999999986</v>
      </c>
      <c r="D32" s="567"/>
      <c r="E32" s="567">
        <v>10172.120000000001</v>
      </c>
      <c r="F32" s="573">
        <f t="shared" si="2"/>
        <v>59827.739999999983</v>
      </c>
      <c r="G32" s="541"/>
      <c r="H32" s="543"/>
      <c r="I32" s="720"/>
      <c r="J32" s="720"/>
    </row>
    <row r="33" spans="1:16" ht="12" x14ac:dyDescent="0.2">
      <c r="A33" s="531"/>
      <c r="B33" s="549" t="s">
        <v>44</v>
      </c>
      <c r="C33" s="556">
        <f>'February 2024'!F33</f>
        <v>-15581.459999999997</v>
      </c>
      <c r="D33" s="567">
        <v>450</v>
      </c>
      <c r="E33" s="558">
        <v>246.33</v>
      </c>
      <c r="F33" s="573">
        <f>C33+D33-E33</f>
        <v>-15377.789999999997</v>
      </c>
      <c r="G33" s="541"/>
      <c r="H33" s="543"/>
      <c r="I33" s="720"/>
      <c r="J33" s="720"/>
    </row>
    <row r="34" spans="1:16" ht="12" x14ac:dyDescent="0.2">
      <c r="A34" s="826" t="s">
        <v>35</v>
      </c>
      <c r="B34" s="827"/>
      <c r="C34" s="551">
        <f>SUM(C35:C41)</f>
        <v>99597.430000000008</v>
      </c>
      <c r="D34" s="568">
        <f>SUM(D35:D41)</f>
        <v>0</v>
      </c>
      <c r="E34" s="569">
        <f>SUM(E35:E41)</f>
        <v>963.62999999999988</v>
      </c>
      <c r="F34" s="569">
        <f>SUM(F35:F41)</f>
        <v>98633.8</v>
      </c>
      <c r="G34" s="570">
        <f>SUM(G35:G38)</f>
        <v>0</v>
      </c>
      <c r="H34" s="543"/>
      <c r="I34" s="273"/>
      <c r="P34" s="720"/>
    </row>
    <row r="35" spans="1:16" ht="15" x14ac:dyDescent="0.25">
      <c r="A35" s="565"/>
      <c r="B35" s="549" t="s">
        <v>153</v>
      </c>
      <c r="C35" s="708">
        <f>'February 2024'!F35</f>
        <v>42059.280000000006</v>
      </c>
      <c r="D35" s="709"/>
      <c r="E35" s="717">
        <v>35.57</v>
      </c>
      <c r="F35" s="711">
        <f>C35+D35-E35</f>
        <v>42023.710000000006</v>
      </c>
      <c r="G35" s="709"/>
      <c r="H35" s="710"/>
      <c r="I35" s="720"/>
      <c r="J35" s="319"/>
    </row>
    <row r="36" spans="1:16" ht="12" x14ac:dyDescent="0.2">
      <c r="A36" s="565"/>
      <c r="B36" s="549" t="s">
        <v>90</v>
      </c>
      <c r="C36" s="708">
        <f>'February 2024'!F36</f>
        <v>0</v>
      </c>
      <c r="D36" s="576"/>
      <c r="E36" s="577">
        <v>37.5</v>
      </c>
      <c r="F36" s="578">
        <f t="shared" ref="F36:F37" si="3">C36+D36-E36</f>
        <v>-37.5</v>
      </c>
      <c r="G36" s="541"/>
      <c r="H36" s="543"/>
      <c r="I36" s="720"/>
      <c r="J36" s="319"/>
    </row>
    <row r="37" spans="1:16" ht="12" x14ac:dyDescent="0.2">
      <c r="A37" s="565"/>
      <c r="B37" s="549" t="s">
        <v>138</v>
      </c>
      <c r="C37" s="708">
        <f>'February 2024'!F37</f>
        <v>6049</v>
      </c>
      <c r="D37" s="576"/>
      <c r="E37" s="577"/>
      <c r="F37" s="578">
        <f t="shared" si="3"/>
        <v>6049</v>
      </c>
      <c r="G37" s="541"/>
      <c r="H37" s="543"/>
      <c r="I37" s="720"/>
      <c r="J37" s="319"/>
    </row>
    <row r="38" spans="1:16" ht="12" x14ac:dyDescent="0.2">
      <c r="A38" s="565"/>
      <c r="B38" s="579" t="s">
        <v>156</v>
      </c>
      <c r="C38" s="708">
        <f>'February 2024'!F38</f>
        <v>25649.479999999996</v>
      </c>
      <c r="D38" s="576"/>
      <c r="E38" s="558">
        <v>206.08</v>
      </c>
      <c r="F38" s="578">
        <f>C38+D38-E38</f>
        <v>25443.399999999994</v>
      </c>
      <c r="G38" s="541"/>
      <c r="H38" s="543"/>
      <c r="I38" s="293"/>
      <c r="J38" s="266"/>
      <c r="P38" s="326"/>
    </row>
    <row r="39" spans="1:16" ht="12" x14ac:dyDescent="0.2">
      <c r="A39" s="722"/>
      <c r="B39" s="722" t="s">
        <v>99</v>
      </c>
      <c r="C39" s="708">
        <f>'February 2024'!F39</f>
        <v>15550</v>
      </c>
      <c r="D39" s="580"/>
      <c r="E39" s="722"/>
      <c r="F39" s="578">
        <f>C39+D39-E39</f>
        <v>15550</v>
      </c>
      <c r="G39" s="722"/>
      <c r="H39" s="722"/>
    </row>
    <row r="40" spans="1:16" ht="12" x14ac:dyDescent="0.2">
      <c r="A40" s="722"/>
      <c r="B40" s="722" t="s">
        <v>131</v>
      </c>
      <c r="C40" s="708">
        <f>'February 2024'!F40</f>
        <v>10506.23</v>
      </c>
      <c r="D40" s="582"/>
      <c r="E40" s="722">
        <v>88.32</v>
      </c>
      <c r="F40" s="578">
        <f>C40+D40-E40</f>
        <v>10417.91</v>
      </c>
      <c r="G40" s="722"/>
      <c r="H40" s="722"/>
    </row>
    <row r="41" spans="1:16" ht="12.75" thickBot="1" x14ac:dyDescent="0.25">
      <c r="A41" s="722"/>
      <c r="B41" s="583" t="s">
        <v>111</v>
      </c>
      <c r="C41" s="708">
        <f>'February 2024'!F41</f>
        <v>-216.5600000000004</v>
      </c>
      <c r="D41" s="584"/>
      <c r="E41" s="722">
        <v>596.16</v>
      </c>
      <c r="F41" s="578">
        <f>C41+D41-E41</f>
        <v>-812.72000000000037</v>
      </c>
      <c r="G41" s="722"/>
      <c r="H41" s="722"/>
    </row>
    <row r="42" spans="1:16" ht="12.75" thickBot="1" x14ac:dyDescent="0.25">
      <c r="A42" s="828" t="s">
        <v>11</v>
      </c>
      <c r="B42" s="812"/>
      <c r="C42" s="585">
        <f>C34+C24+C18+C6</f>
        <v>597350.63</v>
      </c>
      <c r="D42" s="627">
        <f>SUM(D24,D18,D6,D34)</f>
        <v>4082.9999999999995</v>
      </c>
      <c r="E42" s="587">
        <f>SUM(E24,E18,E6,E34)</f>
        <v>29401.45</v>
      </c>
      <c r="F42" s="588">
        <f>SUM(F24,F18,F6,F34)</f>
        <v>574310.86</v>
      </c>
      <c r="G42" s="589">
        <f>SUM(G6,G18,G24,G34)</f>
        <v>13500</v>
      </c>
      <c r="H42" s="723"/>
      <c r="I42" s="720"/>
      <c r="J42" s="331"/>
    </row>
    <row r="43" spans="1:16" ht="12" hidden="1" x14ac:dyDescent="0.2">
      <c r="A43" s="725"/>
      <c r="B43" s="721"/>
      <c r="C43" s="723">
        <f>SUM(C18:C23)</f>
        <v>-29468.320000000007</v>
      </c>
      <c r="D43" s="723"/>
      <c r="E43" s="723"/>
      <c r="F43" s="723"/>
      <c r="G43" s="593"/>
      <c r="H43" s="723"/>
      <c r="K43" s="719" t="s">
        <v>12</v>
      </c>
      <c r="L43" s="719">
        <v>42.43</v>
      </c>
    </row>
    <row r="44" spans="1:16" ht="12.75" hidden="1" thickBot="1" x14ac:dyDescent="0.25">
      <c r="A44" s="594" t="s">
        <v>25</v>
      </c>
      <c r="B44" s="595"/>
      <c r="C44" s="596" t="e">
        <f>SUM(C42,#REF!)</f>
        <v>#REF!</v>
      </c>
      <c r="D44" s="597" t="e">
        <f>SUM(D42,#REF!)</f>
        <v>#REF!</v>
      </c>
      <c r="E44" s="597" t="e">
        <f>SUM(E42,#REF!)</f>
        <v>#REF!</v>
      </c>
      <c r="F44" s="598" t="e">
        <f>SUM(F42,#REF!)</f>
        <v>#REF!</v>
      </c>
      <c r="G44" s="593"/>
      <c r="H44" s="723"/>
      <c r="I44" s="331"/>
      <c r="J44" s="79">
        <v>206730.35</v>
      </c>
    </row>
    <row r="45" spans="1:16" ht="12.75" thickBot="1" x14ac:dyDescent="0.25">
      <c r="A45" s="722"/>
      <c r="B45" s="599"/>
      <c r="C45" s="723"/>
      <c r="D45" s="723"/>
      <c r="E45" s="723"/>
      <c r="F45" s="723"/>
      <c r="G45" s="593"/>
      <c r="H45" s="600"/>
      <c r="I45" s="331"/>
      <c r="J45" s="79"/>
      <c r="P45" s="720"/>
    </row>
    <row r="46" spans="1:16" ht="12.75" thickBot="1" x14ac:dyDescent="0.25">
      <c r="A46" s="829" t="s">
        <v>13</v>
      </c>
      <c r="B46" s="830"/>
      <c r="C46" s="601" t="s">
        <v>2</v>
      </c>
      <c r="D46" s="601" t="s">
        <v>3</v>
      </c>
      <c r="E46" s="601" t="s">
        <v>27</v>
      </c>
      <c r="F46" s="601" t="s">
        <v>5</v>
      </c>
      <c r="G46" s="602"/>
      <c r="H46" s="603"/>
      <c r="I46" s="343"/>
    </row>
    <row r="47" spans="1:16" ht="12.75" thickBot="1" x14ac:dyDescent="0.25">
      <c r="A47" s="815" t="s">
        <v>14</v>
      </c>
      <c r="B47" s="816"/>
      <c r="C47" s="604">
        <f>'February 2024'!F47</f>
        <v>297.91999999999996</v>
      </c>
      <c r="D47" s="605"/>
      <c r="E47" s="605">
        <v>45.85</v>
      </c>
      <c r="F47" s="606">
        <f>C47+D47-E47</f>
        <v>252.06999999999996</v>
      </c>
      <c r="G47" s="723"/>
      <c r="H47" s="722"/>
      <c r="I47" s="331"/>
      <c r="J47" s="79"/>
    </row>
    <row r="48" spans="1:16" ht="12.75" thickBot="1" x14ac:dyDescent="0.25">
      <c r="A48" s="831" t="s">
        <v>15</v>
      </c>
      <c r="B48" s="832"/>
      <c r="C48" s="604">
        <f>'February 2024'!F48</f>
        <v>13104.329999999994</v>
      </c>
      <c r="D48" s="607">
        <v>23000</v>
      </c>
      <c r="E48" s="607">
        <v>25803.17</v>
      </c>
      <c r="F48" s="606">
        <f>C48+D48-E48</f>
        <v>10301.159999999996</v>
      </c>
      <c r="G48" s="723"/>
      <c r="H48" s="608"/>
      <c r="I48" s="331"/>
    </row>
    <row r="49" spans="1:16" ht="12.75" thickBot="1" x14ac:dyDescent="0.25">
      <c r="A49" s="609"/>
      <c r="B49" s="610" t="s">
        <v>21</v>
      </c>
      <c r="C49" s="604">
        <f>'February 2024'!F49</f>
        <v>0</v>
      </c>
      <c r="D49" s="611"/>
      <c r="E49" s="611"/>
      <c r="F49" s="606">
        <f t="shared" ref="F49:F52" si="4">C49+D49-E49</f>
        <v>0</v>
      </c>
      <c r="G49" s="723"/>
      <c r="H49" s="608"/>
      <c r="I49" s="79"/>
    </row>
    <row r="50" spans="1:16" ht="12.75" thickBot="1" x14ac:dyDescent="0.25">
      <c r="A50" s="609"/>
      <c r="B50" s="610" t="s">
        <v>40</v>
      </c>
      <c r="C50" s="604">
        <f>'February 2024'!F50</f>
        <v>-895.0099999999959</v>
      </c>
      <c r="D50" s="612">
        <v>393.57</v>
      </c>
      <c r="E50" s="612">
        <v>204.75</v>
      </c>
      <c r="F50" s="606">
        <f>C50+D50-E50-0.04</f>
        <v>-706.22999999999593</v>
      </c>
      <c r="G50" s="723"/>
      <c r="H50" s="613"/>
      <c r="I50" s="79"/>
    </row>
    <row r="51" spans="1:16" ht="12.75" thickBot="1" x14ac:dyDescent="0.25">
      <c r="A51" s="692"/>
      <c r="B51" s="693" t="s">
        <v>150</v>
      </c>
      <c r="C51" s="604">
        <f>'February 2024'!F51</f>
        <v>150000</v>
      </c>
      <c r="D51" s="612"/>
      <c r="E51" s="612"/>
      <c r="F51" s="606">
        <f>C51+D51-E51</f>
        <v>150000</v>
      </c>
      <c r="G51" s="723"/>
      <c r="H51" s="613"/>
      <c r="I51" s="79"/>
    </row>
    <row r="52" spans="1:16" ht="12.75" thickBot="1" x14ac:dyDescent="0.25">
      <c r="A52" s="815" t="s">
        <v>16</v>
      </c>
      <c r="B52" s="816"/>
      <c r="C52" s="604">
        <f>'February 2024'!F52</f>
        <v>218698.57000000009</v>
      </c>
      <c r="D52" s="614">
        <v>3797.18</v>
      </c>
      <c r="E52" s="614">
        <v>23000</v>
      </c>
      <c r="F52" s="606">
        <f t="shared" si="4"/>
        <v>199495.75000000009</v>
      </c>
      <c r="G52" s="723"/>
      <c r="H52" s="613"/>
      <c r="I52" s="79"/>
    </row>
    <row r="53" spans="1:16" ht="12.75" thickBot="1" x14ac:dyDescent="0.25">
      <c r="A53" s="615" t="s">
        <v>46</v>
      </c>
      <c r="B53" s="616"/>
      <c r="C53" s="604">
        <f>'February 2024'!F53</f>
        <v>216144.81999999992</v>
      </c>
      <c r="D53" s="576">
        <v>285.81</v>
      </c>
      <c r="E53" s="576">
        <f>41.86+45.55+1375</f>
        <v>1462.41</v>
      </c>
      <c r="F53" s="606">
        <f>C53+D53-E53</f>
        <v>214968.21999999991</v>
      </c>
      <c r="G53" s="723"/>
      <c r="H53" s="613"/>
      <c r="I53" s="79"/>
    </row>
    <row r="54" spans="1:16" ht="12.75" thickBot="1" x14ac:dyDescent="0.25">
      <c r="A54" s="811"/>
      <c r="B54" s="812"/>
      <c r="C54" s="617">
        <f>SUM(C47+C48+C52+C53+C50+C49+C51)-0.04</f>
        <v>597350.59</v>
      </c>
      <c r="D54" s="618">
        <f>SUM(D47:D53)</f>
        <v>27476.560000000001</v>
      </c>
      <c r="E54" s="618">
        <f>SUM(E47:E53)</f>
        <v>50516.18</v>
      </c>
      <c r="F54" s="606">
        <f>C54+D54-E54</f>
        <v>574310.97</v>
      </c>
      <c r="G54" s="723"/>
      <c r="H54" s="603"/>
      <c r="I54" s="79"/>
      <c r="J54" s="266"/>
    </row>
    <row r="55" spans="1:16" ht="12" x14ac:dyDescent="0.2">
      <c r="A55" s="725"/>
      <c r="B55" s="721"/>
      <c r="C55" s="723">
        <f>C42-C54</f>
        <v>4.0000000037252903E-2</v>
      </c>
      <c r="D55" s="723"/>
      <c r="E55" s="723"/>
      <c r="F55" s="723">
        <f>F42-F54</f>
        <v>-0.10999999998603016</v>
      </c>
      <c r="G55" s="722"/>
      <c r="H55" s="723"/>
      <c r="I55" s="331"/>
      <c r="J55" s="331"/>
      <c r="K55" s="266"/>
    </row>
    <row r="56" spans="1:16" ht="12" x14ac:dyDescent="0.2">
      <c r="A56" s="722"/>
      <c r="B56" s="599"/>
      <c r="C56" s="723"/>
      <c r="D56" s="723"/>
      <c r="E56" s="723"/>
      <c r="F56" s="723"/>
      <c r="G56" s="723"/>
      <c r="H56" s="723"/>
      <c r="I56" s="331"/>
    </row>
    <row r="57" spans="1:16" ht="12" x14ac:dyDescent="0.2">
      <c r="A57" s="813" t="s">
        <v>17</v>
      </c>
      <c r="B57" s="813"/>
      <c r="C57" s="813"/>
      <c r="D57" s="813"/>
      <c r="E57" s="814" t="s">
        <v>18</v>
      </c>
      <c r="F57" s="814"/>
      <c r="G57" s="723"/>
      <c r="H57" s="723"/>
      <c r="J57" s="331"/>
    </row>
    <row r="58" spans="1:16" ht="12" x14ac:dyDescent="0.2">
      <c r="A58" s="722"/>
      <c r="B58" s="722"/>
      <c r="C58" s="723"/>
      <c r="D58" s="723"/>
      <c r="E58" s="723"/>
      <c r="F58" s="723"/>
      <c r="G58" s="723"/>
      <c r="H58" s="723"/>
    </row>
    <row r="59" spans="1:16" ht="12" x14ac:dyDescent="0.2">
      <c r="A59" s="813" t="s">
        <v>19</v>
      </c>
      <c r="B59" s="813"/>
      <c r="C59" s="813"/>
      <c r="D59" s="813"/>
      <c r="E59" s="814" t="s">
        <v>18</v>
      </c>
      <c r="F59" s="814"/>
      <c r="G59" s="723"/>
      <c r="H59" s="723"/>
    </row>
    <row r="60" spans="1:16" ht="12" x14ac:dyDescent="0.2">
      <c r="A60" s="725"/>
      <c r="B60" s="721"/>
      <c r="C60" s="524"/>
      <c r="D60" s="524"/>
      <c r="E60" s="524"/>
      <c r="F60" s="613"/>
      <c r="G60" s="524"/>
      <c r="H60" s="524"/>
      <c r="I60" s="331"/>
      <c r="J60" s="79"/>
      <c r="P60" s="364"/>
    </row>
    <row r="61" spans="1:16" ht="12" x14ac:dyDescent="0.2">
      <c r="A61" s="722"/>
      <c r="B61" s="599"/>
      <c r="C61" s="603"/>
      <c r="D61" s="603"/>
      <c r="E61" s="603"/>
      <c r="H61" s="722"/>
      <c r="I61" s="331"/>
      <c r="J61" s="343"/>
      <c r="L61" s="266"/>
      <c r="P61" s="364"/>
    </row>
    <row r="62" spans="1:16" x14ac:dyDescent="0.2">
      <c r="B62" s="340"/>
      <c r="C62" s="79"/>
      <c r="D62" s="331"/>
      <c r="J62" s="331"/>
    </row>
  </sheetData>
  <mergeCells count="17">
    <mergeCell ref="A52:B52"/>
    <mergeCell ref="A2:G2"/>
    <mergeCell ref="A3:G3"/>
    <mergeCell ref="A5:B5"/>
    <mergeCell ref="A6:B6"/>
    <mergeCell ref="A18:B18"/>
    <mergeCell ref="A24:B24"/>
    <mergeCell ref="A34:B34"/>
    <mergeCell ref="A42:B42"/>
    <mergeCell ref="A46:B46"/>
    <mergeCell ref="A47:B47"/>
    <mergeCell ref="A48:B48"/>
    <mergeCell ref="A54:B54"/>
    <mergeCell ref="A57:D57"/>
    <mergeCell ref="E57:F57"/>
    <mergeCell ref="A59:D59"/>
    <mergeCell ref="E59:F59"/>
  </mergeCells>
  <pageMargins left="0.7" right="0.7" top="0.75" bottom="0.75" header="0.3" footer="0.3"/>
  <pageSetup scale="81" orientation="portrait" r:id="rId1"/>
  <legacy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81D3C-EF5E-472F-AE7D-9782B9300A0C}">
  <sheetPr>
    <pageSetUpPr fitToPage="1"/>
  </sheetPr>
  <dimension ref="A1:R62"/>
  <sheetViews>
    <sheetView topLeftCell="A2" zoomScale="130" zoomScaleNormal="130" workbookViewId="0">
      <selection activeCell="D19" sqref="D19"/>
    </sheetView>
  </sheetViews>
  <sheetFormatPr defaultColWidth="9.140625" defaultRowHeight="11.25" x14ac:dyDescent="0.2"/>
  <cols>
    <col min="1" max="1" width="10.7109375" style="726" customWidth="1"/>
    <col min="2" max="2" width="37.42578125" style="726" customWidth="1"/>
    <col min="3" max="3" width="10" style="726" customWidth="1"/>
    <col min="4" max="4" width="8.85546875" style="726" customWidth="1"/>
    <col min="5" max="6" width="10.28515625" style="726" customWidth="1"/>
    <col min="7" max="7" width="8.85546875" style="726" customWidth="1"/>
    <col min="8" max="8" width="13.85546875" style="726" customWidth="1"/>
    <col min="9" max="9" width="14.7109375" style="726" customWidth="1"/>
    <col min="10" max="10" width="14.5703125" style="726" customWidth="1"/>
    <col min="11" max="11" width="11.28515625" style="726" customWidth="1"/>
    <col min="12" max="15" width="9.140625" style="726"/>
    <col min="16" max="16" width="13" style="726" customWidth="1"/>
    <col min="17" max="16384" width="9.140625" style="726"/>
  </cols>
  <sheetData>
    <row r="1" spans="1:18" hidden="1" x14ac:dyDescent="0.2"/>
    <row r="2" spans="1:18" ht="12" x14ac:dyDescent="0.2">
      <c r="A2" s="817" t="s">
        <v>0</v>
      </c>
      <c r="B2" s="817"/>
      <c r="C2" s="817"/>
      <c r="D2" s="817"/>
      <c r="E2" s="817"/>
      <c r="F2" s="817"/>
      <c r="G2" s="817"/>
      <c r="H2" s="731"/>
    </row>
    <row r="3" spans="1:18" ht="12" x14ac:dyDescent="0.2">
      <c r="A3" s="818" t="s">
        <v>161</v>
      </c>
      <c r="B3" s="818"/>
      <c r="C3" s="818"/>
      <c r="D3" s="818"/>
      <c r="E3" s="818"/>
      <c r="F3" s="818"/>
      <c r="G3" s="818"/>
      <c r="H3" s="526" t="s">
        <v>133</v>
      </c>
      <c r="I3" s="729"/>
    </row>
    <row r="4" spans="1:18" ht="12.75" thickBot="1" x14ac:dyDescent="0.25">
      <c r="A4" s="729"/>
      <c r="B4" s="523" t="s">
        <v>37</v>
      </c>
      <c r="C4" s="729"/>
      <c r="D4" s="729"/>
      <c r="E4" s="729"/>
      <c r="F4" s="524"/>
      <c r="G4" s="729"/>
      <c r="H4" s="530" t="s">
        <v>134</v>
      </c>
    </row>
    <row r="5" spans="1:18" ht="15.75" customHeight="1" x14ac:dyDescent="0.2">
      <c r="A5" s="819" t="s">
        <v>1</v>
      </c>
      <c r="B5" s="820"/>
      <c r="C5" s="525" t="s">
        <v>2</v>
      </c>
      <c r="D5" s="525" t="s">
        <v>3</v>
      </c>
      <c r="E5" s="525" t="s">
        <v>58</v>
      </c>
      <c r="F5" s="525" t="s">
        <v>5</v>
      </c>
      <c r="G5" s="525" t="s">
        <v>6</v>
      </c>
      <c r="H5" s="538" t="s">
        <v>135</v>
      </c>
    </row>
    <row r="6" spans="1:18" ht="12" x14ac:dyDescent="0.2">
      <c r="A6" s="821" t="s">
        <v>132</v>
      </c>
      <c r="B6" s="822"/>
      <c r="C6" s="527">
        <f>SUM(C7:C17)</f>
        <v>387028.55</v>
      </c>
      <c r="D6" s="528">
        <f>SUM(D7:D17)</f>
        <v>12060.78</v>
      </c>
      <c r="E6" s="528">
        <f>SUM(E7:E17)</f>
        <v>12359.220000000001</v>
      </c>
      <c r="F6" s="528">
        <f>SUM(F7:F17)</f>
        <v>386730.11</v>
      </c>
      <c r="G6" s="529">
        <f>SUM(G7:G15)</f>
        <v>0</v>
      </c>
      <c r="I6" s="273"/>
      <c r="J6" s="273"/>
      <c r="K6" s="727"/>
      <c r="P6" s="727"/>
      <c r="R6" s="727"/>
    </row>
    <row r="7" spans="1:18" ht="12" customHeight="1" x14ac:dyDescent="0.2">
      <c r="A7" s="531"/>
      <c r="B7" s="532" t="s">
        <v>23</v>
      </c>
      <c r="C7" s="533">
        <f>'March 2024'!F7</f>
        <v>224033.56</v>
      </c>
      <c r="D7" s="534">
        <f>289.8+347.79+2000</f>
        <v>2637.59</v>
      </c>
      <c r="E7" s="535">
        <f>1375+1396.42+6120.02+4938.35+17.86-14763.56</f>
        <v>-915.90999999999804</v>
      </c>
      <c r="F7" s="536">
        <f>C7+D7-E7</f>
        <v>227587.06</v>
      </c>
      <c r="G7" s="537"/>
      <c r="I7" s="727"/>
    </row>
    <row r="8" spans="1:18" ht="12" x14ac:dyDescent="0.2">
      <c r="A8" s="539"/>
      <c r="B8" s="540" t="s">
        <v>159</v>
      </c>
      <c r="C8" s="533">
        <f>'March 2024'!F8</f>
        <v>-7034.4299999999994</v>
      </c>
      <c r="D8" s="541">
        <v>6580.71</v>
      </c>
      <c r="E8" s="541">
        <f>4952.82+6502.5</f>
        <v>11455.32</v>
      </c>
      <c r="F8" s="542">
        <f>C8+D8-E8</f>
        <v>-11909.039999999999</v>
      </c>
      <c r="G8" s="537"/>
      <c r="H8" s="543"/>
      <c r="I8" s="287"/>
    </row>
    <row r="9" spans="1:18" ht="12" hidden="1" x14ac:dyDescent="0.2">
      <c r="A9" s="539"/>
      <c r="B9" s="544" t="s">
        <v>67</v>
      </c>
      <c r="C9" s="533">
        <f>'March 2024'!F9</f>
        <v>0</v>
      </c>
      <c r="D9" s="541"/>
      <c r="E9" s="541"/>
      <c r="F9" s="536">
        <f t="shared" ref="F9:F15" si="0">C9+D9-E9</f>
        <v>0</v>
      </c>
      <c r="G9" s="537"/>
      <c r="H9" s="543"/>
      <c r="I9" s="289"/>
      <c r="J9" s="727"/>
    </row>
    <row r="10" spans="1:18" ht="12" hidden="1" x14ac:dyDescent="0.2">
      <c r="A10" s="539"/>
      <c r="B10" s="544" t="s">
        <v>41</v>
      </c>
      <c r="C10" s="533">
        <f>'March 2024'!F10</f>
        <v>-1.0000000002037268E-2</v>
      </c>
      <c r="D10" s="545"/>
      <c r="E10" s="545"/>
      <c r="F10" s="542">
        <f t="shared" si="0"/>
        <v>-1.0000000002037268E-2</v>
      </c>
      <c r="G10" s="537"/>
      <c r="H10" s="543"/>
      <c r="I10" s="291"/>
      <c r="J10" s="727"/>
    </row>
    <row r="11" spans="1:18" ht="12" x14ac:dyDescent="0.2">
      <c r="A11" s="539"/>
      <c r="B11" s="544" t="s">
        <v>117</v>
      </c>
      <c r="C11" s="533">
        <f>'March 2024'!F11</f>
        <v>776</v>
      </c>
      <c r="D11" s="546">
        <v>360</v>
      </c>
      <c r="E11" s="546"/>
      <c r="F11" s="536">
        <f t="shared" si="0"/>
        <v>1136</v>
      </c>
      <c r="G11" s="537"/>
      <c r="H11" s="543"/>
      <c r="I11" s="293"/>
    </row>
    <row r="12" spans="1:18" ht="12" x14ac:dyDescent="0.2">
      <c r="A12" s="539"/>
      <c r="B12" s="544" t="s">
        <v>20</v>
      </c>
      <c r="C12" s="533">
        <f>'March 2024'!F12</f>
        <v>10627.6</v>
      </c>
      <c r="D12" s="547">
        <f>2097.76+235.77</f>
        <v>2333.5300000000002</v>
      </c>
      <c r="E12" s="547">
        <f>98.13+368.86+25.47+3.55</f>
        <v>496.01000000000005</v>
      </c>
      <c r="F12" s="548">
        <f>C12+D12-E12</f>
        <v>12465.12</v>
      </c>
      <c r="G12" s="537"/>
      <c r="H12" s="543"/>
      <c r="I12" s="727"/>
    </row>
    <row r="13" spans="1:18" ht="12" x14ac:dyDescent="0.2">
      <c r="A13" s="539"/>
      <c r="B13" s="544" t="s">
        <v>22</v>
      </c>
      <c r="C13" s="533">
        <f>'March 2024'!F13</f>
        <v>956.04999999999984</v>
      </c>
      <c r="D13" s="547">
        <v>148.94999999999999</v>
      </c>
      <c r="E13" s="547">
        <v>666</v>
      </c>
      <c r="F13" s="548">
        <f>C13+D13-E13</f>
        <v>438.99999999999977</v>
      </c>
      <c r="G13" s="537"/>
      <c r="H13" s="543"/>
      <c r="I13" s="727"/>
    </row>
    <row r="14" spans="1:18" ht="12" x14ac:dyDescent="0.2">
      <c r="A14" s="539"/>
      <c r="B14" s="544" t="s">
        <v>28</v>
      </c>
      <c r="C14" s="533">
        <f>'March 2024'!F14</f>
        <v>-188.63000000000108</v>
      </c>
      <c r="D14" s="547"/>
      <c r="E14" s="547">
        <v>117.76</v>
      </c>
      <c r="F14" s="542">
        <f t="shared" si="0"/>
        <v>-306.39000000000107</v>
      </c>
      <c r="G14" s="537"/>
      <c r="H14" s="543"/>
      <c r="I14" s="727"/>
    </row>
    <row r="15" spans="1:18" ht="12" x14ac:dyDescent="0.2">
      <c r="A15" s="539"/>
      <c r="B15" s="549" t="s">
        <v>42</v>
      </c>
      <c r="C15" s="533">
        <f>'March 2024'!F15</f>
        <v>-516.55999999999995</v>
      </c>
      <c r="D15" s="541"/>
      <c r="E15" s="541">
        <v>540.04</v>
      </c>
      <c r="F15" s="550">
        <f t="shared" si="0"/>
        <v>-1056.5999999999999</v>
      </c>
      <c r="G15" s="537"/>
      <c r="H15" s="543"/>
      <c r="I15" s="727"/>
    </row>
    <row r="16" spans="1:18" ht="12" x14ac:dyDescent="0.2">
      <c r="A16" s="539"/>
      <c r="B16" s="549" t="s">
        <v>43</v>
      </c>
      <c r="C16" s="533">
        <f>'March 2024'!F16</f>
        <v>-115.92000000000063</v>
      </c>
      <c r="D16" s="541"/>
      <c r="E16" s="541"/>
      <c r="F16" s="548">
        <f>C16+D16-E16</f>
        <v>-115.92000000000063</v>
      </c>
      <c r="G16" s="537"/>
      <c r="H16" s="543"/>
      <c r="I16" s="273"/>
      <c r="P16" s="727"/>
    </row>
    <row r="17" spans="1:16" ht="12" x14ac:dyDescent="0.2">
      <c r="A17" s="658"/>
      <c r="B17" s="659" t="s">
        <v>141</v>
      </c>
      <c r="C17" s="533">
        <f>'March 2024'!F17</f>
        <v>158490.89000000001</v>
      </c>
      <c r="D17" s="541"/>
      <c r="E17" s="541"/>
      <c r="F17" s="548">
        <f>C17+D17-E17</f>
        <v>158490.89000000001</v>
      </c>
      <c r="G17" s="537"/>
      <c r="H17" s="543"/>
      <c r="I17" s="273"/>
      <c r="P17" s="727"/>
    </row>
    <row r="18" spans="1:16" ht="12" x14ac:dyDescent="0.2">
      <c r="A18" s="823" t="s">
        <v>53</v>
      </c>
      <c r="B18" s="823"/>
      <c r="C18" s="551">
        <f>SUM(C19:C23)</f>
        <v>-15735.450000000003</v>
      </c>
      <c r="D18" s="552">
        <f>SUM(D19:D23)</f>
        <v>0</v>
      </c>
      <c r="E18" s="552">
        <f>SUM(E19:E23)</f>
        <v>5746.5099999999993</v>
      </c>
      <c r="F18" s="542">
        <f>SUM(F19:F23)</f>
        <v>-21481.960000000003</v>
      </c>
      <c r="G18" s="553">
        <f>SUM(G21+G23+G19)</f>
        <v>13500</v>
      </c>
      <c r="H18" s="543"/>
      <c r="I18" s="273"/>
      <c r="P18" s="727"/>
    </row>
    <row r="19" spans="1:16" ht="12" x14ac:dyDescent="0.2">
      <c r="A19" s="554"/>
      <c r="B19" s="555" t="s">
        <v>9</v>
      </c>
      <c r="C19" s="556">
        <f>'March 2024'!F19</f>
        <v>-7843.2200000000021</v>
      </c>
      <c r="D19" s="557"/>
      <c r="E19" s="558">
        <v>2457.37</v>
      </c>
      <c r="F19" s="559">
        <f>C19+D19-E19</f>
        <v>-10300.590000000002</v>
      </c>
      <c r="G19" s="541"/>
      <c r="H19" s="560"/>
      <c r="I19" s="727"/>
      <c r="J19" s="79"/>
    </row>
    <row r="20" spans="1:16" ht="12" x14ac:dyDescent="0.2">
      <c r="A20" s="539"/>
      <c r="B20" s="561" t="s">
        <v>8</v>
      </c>
      <c r="C20" s="556">
        <f>'March 2024'!F20</f>
        <v>2453.7700000000004</v>
      </c>
      <c r="D20" s="547"/>
      <c r="E20" s="545">
        <f>1368.86+75</f>
        <v>1443.86</v>
      </c>
      <c r="F20" s="559">
        <f>C20+D20-E20</f>
        <v>1009.9100000000005</v>
      </c>
      <c r="G20" s="562"/>
      <c r="H20" s="560"/>
      <c r="I20" s="727"/>
    </row>
    <row r="21" spans="1:16" ht="12" x14ac:dyDescent="0.2">
      <c r="A21" s="539"/>
      <c r="B21" s="563" t="s">
        <v>32</v>
      </c>
      <c r="C21" s="556">
        <f>'March 2024'!F21</f>
        <v>-7433.1500000000005</v>
      </c>
      <c r="D21" s="547"/>
      <c r="E21" s="545">
        <v>818</v>
      </c>
      <c r="F21" s="559">
        <f t="shared" ref="F21:F23" si="1">C21+D21-E21</f>
        <v>-8251.1500000000015</v>
      </c>
      <c r="G21" s="564">
        <v>5000</v>
      </c>
      <c r="H21" s="560"/>
      <c r="I21" s="727"/>
    </row>
    <row r="22" spans="1:16" ht="12" hidden="1" x14ac:dyDescent="0.2">
      <c r="A22" s="539"/>
      <c r="B22" s="561"/>
      <c r="C22" s="556">
        <f>'March 2024'!F22</f>
        <v>0</v>
      </c>
      <c r="D22" s="547"/>
      <c r="E22" s="547"/>
      <c r="F22" s="559"/>
      <c r="G22" s="564"/>
      <c r="H22" s="560"/>
      <c r="I22" s="727"/>
    </row>
    <row r="23" spans="1:16" ht="12" x14ac:dyDescent="0.2">
      <c r="A23" s="565"/>
      <c r="B23" s="566" t="s">
        <v>38</v>
      </c>
      <c r="C23" s="556">
        <f>'March 2024'!F23</f>
        <v>-2912.8500000000004</v>
      </c>
      <c r="D23" s="567"/>
      <c r="E23" s="558">
        <f>835.78+191.5</f>
        <v>1027.28</v>
      </c>
      <c r="F23" s="559">
        <f t="shared" si="1"/>
        <v>-3940.13</v>
      </c>
      <c r="G23" s="541">
        <v>8500</v>
      </c>
      <c r="H23" s="560"/>
      <c r="I23" s="727"/>
      <c r="J23" s="79"/>
    </row>
    <row r="24" spans="1:16" ht="12" x14ac:dyDescent="0.2">
      <c r="A24" s="824" t="s">
        <v>10</v>
      </c>
      <c r="B24" s="825"/>
      <c r="C24" s="551">
        <f>SUM(C25:C33)</f>
        <v>104384.02000000003</v>
      </c>
      <c r="D24" s="568">
        <f>SUM(D25:D33)</f>
        <v>0</v>
      </c>
      <c r="E24" s="569">
        <f>SUM(E25:E33)</f>
        <v>19200.63</v>
      </c>
      <c r="F24" s="569">
        <f>SUM(F25:F33)-0.08</f>
        <v>85183.330000000031</v>
      </c>
      <c r="G24" s="570"/>
      <c r="H24" s="543"/>
      <c r="I24" s="273"/>
      <c r="P24" s="727"/>
    </row>
    <row r="25" spans="1:16" ht="12" hidden="1" x14ac:dyDescent="0.2">
      <c r="A25" s="554"/>
      <c r="B25" s="571" t="s">
        <v>55</v>
      </c>
      <c r="C25" s="556">
        <f>'February 2021'!G24</f>
        <v>0</v>
      </c>
      <c r="D25" s="572"/>
      <c r="E25" s="557"/>
      <c r="F25" s="573">
        <f>C25+D25-E25</f>
        <v>0</v>
      </c>
      <c r="G25" s="534"/>
      <c r="H25" s="543"/>
      <c r="I25" s="727"/>
      <c r="J25" s="319"/>
    </row>
    <row r="26" spans="1:16" ht="12" hidden="1" x14ac:dyDescent="0.2">
      <c r="A26" s="565"/>
      <c r="B26" s="549" t="s">
        <v>70</v>
      </c>
      <c r="C26" s="556">
        <f>'January 2022'!F25</f>
        <v>7.9999999998108251E-2</v>
      </c>
      <c r="D26" s="567"/>
      <c r="E26" s="567"/>
      <c r="F26" s="573">
        <f>C26+D26-E26</f>
        <v>7.9999999998108251E-2</v>
      </c>
      <c r="G26" s="541"/>
      <c r="H26" s="543"/>
      <c r="I26" s="727"/>
      <c r="J26" s="319"/>
    </row>
    <row r="27" spans="1:16" ht="12" hidden="1" x14ac:dyDescent="0.2">
      <c r="A27" s="531"/>
      <c r="B27" s="574" t="s">
        <v>105</v>
      </c>
      <c r="C27" s="556">
        <f>'April 2023'!F26</f>
        <v>-1.9999999992592166E-2</v>
      </c>
      <c r="D27" s="558"/>
      <c r="E27" s="575"/>
      <c r="F27" s="573">
        <f>C27+D27-E27+0.02</f>
        <v>7.4078347622741347E-12</v>
      </c>
      <c r="G27" s="541"/>
      <c r="H27" s="543"/>
      <c r="I27" s="727"/>
      <c r="J27" s="727"/>
    </row>
    <row r="28" spans="1:16" ht="12" hidden="1" x14ac:dyDescent="0.2">
      <c r="A28" s="531"/>
      <c r="B28" s="574" t="s">
        <v>39</v>
      </c>
      <c r="C28" s="556">
        <f>'April 2023'!F27</f>
        <v>8.1854523159563541E-12</v>
      </c>
      <c r="D28" s="567"/>
      <c r="E28" s="558"/>
      <c r="F28" s="573">
        <f t="shared" ref="F28:F32" si="2">C28+D28-E28</f>
        <v>8.1854523159563541E-12</v>
      </c>
      <c r="G28" s="541"/>
      <c r="H28" s="543"/>
      <c r="I28" s="727"/>
      <c r="J28" s="727"/>
    </row>
    <row r="29" spans="1:16" ht="12" x14ac:dyDescent="0.2">
      <c r="A29" s="531"/>
      <c r="B29" s="574" t="s">
        <v>152</v>
      </c>
      <c r="C29" s="556">
        <f>'March 2024'!F29</f>
        <v>59934.01</v>
      </c>
      <c r="D29" s="567"/>
      <c r="E29" s="567"/>
      <c r="F29" s="573">
        <f t="shared" si="2"/>
        <v>59934.01</v>
      </c>
      <c r="G29" s="541"/>
      <c r="H29" s="543"/>
      <c r="I29" s="727"/>
      <c r="J29" s="727"/>
    </row>
    <row r="30" spans="1:16" ht="12" hidden="1" x14ac:dyDescent="0.2">
      <c r="A30" s="531"/>
      <c r="B30" s="574" t="s">
        <v>86</v>
      </c>
      <c r="C30" s="556">
        <f>'March 2024'!F30</f>
        <v>-1.9326762412674725E-12</v>
      </c>
      <c r="D30" s="567"/>
      <c r="E30" s="567"/>
      <c r="F30" s="573">
        <f t="shared" si="2"/>
        <v>-1.9326762412674725E-12</v>
      </c>
      <c r="G30" s="541"/>
      <c r="H30" s="543"/>
      <c r="I30" s="727"/>
      <c r="J30" s="727"/>
    </row>
    <row r="31" spans="1:16" ht="12" hidden="1" x14ac:dyDescent="0.2">
      <c r="A31" s="531"/>
      <c r="B31" s="574" t="s">
        <v>101</v>
      </c>
      <c r="C31" s="556">
        <f>'March 2024'!F31</f>
        <v>1.9554136088117957E-11</v>
      </c>
      <c r="D31" s="567"/>
      <c r="E31" s="567"/>
      <c r="F31" s="573">
        <f t="shared" si="2"/>
        <v>1.9554136088117957E-11</v>
      </c>
      <c r="G31" s="541"/>
      <c r="H31" s="543"/>
      <c r="I31" s="727"/>
      <c r="J31" s="727"/>
    </row>
    <row r="32" spans="1:16" ht="12" x14ac:dyDescent="0.2">
      <c r="A32" s="531"/>
      <c r="B32" s="574" t="s">
        <v>119</v>
      </c>
      <c r="C32" s="556">
        <f>'March 2024'!F32</f>
        <v>59827.739999999983</v>
      </c>
      <c r="D32" s="567"/>
      <c r="E32" s="567">
        <v>18669.68</v>
      </c>
      <c r="F32" s="573">
        <f t="shared" si="2"/>
        <v>41158.059999999983</v>
      </c>
      <c r="G32" s="541"/>
      <c r="H32" s="543"/>
      <c r="I32" s="727"/>
      <c r="J32" s="727"/>
    </row>
    <row r="33" spans="1:16" ht="12" x14ac:dyDescent="0.2">
      <c r="A33" s="531"/>
      <c r="B33" s="549" t="s">
        <v>44</v>
      </c>
      <c r="C33" s="556">
        <f>'March 2024'!F33</f>
        <v>-15377.789999999997</v>
      </c>
      <c r="D33" s="567"/>
      <c r="E33" s="558">
        <v>530.95000000000005</v>
      </c>
      <c r="F33" s="573">
        <f>C33+D33-E33</f>
        <v>-15908.739999999998</v>
      </c>
      <c r="G33" s="541"/>
      <c r="H33" s="543"/>
      <c r="I33" s="727"/>
      <c r="J33" s="727"/>
    </row>
    <row r="34" spans="1:16" ht="12" x14ac:dyDescent="0.2">
      <c r="A34" s="826" t="s">
        <v>35</v>
      </c>
      <c r="B34" s="827"/>
      <c r="C34" s="551">
        <f>SUM(C35:C41)</f>
        <v>98633.8</v>
      </c>
      <c r="D34" s="568">
        <f>SUM(D35:D41)</f>
        <v>0</v>
      </c>
      <c r="E34" s="569">
        <f>SUM(E35:E41)</f>
        <v>2416.14</v>
      </c>
      <c r="F34" s="569">
        <f>SUM(F35:F41)</f>
        <v>96217.660000000018</v>
      </c>
      <c r="G34" s="570">
        <f>SUM(G35:G38)</f>
        <v>0</v>
      </c>
      <c r="H34" s="543"/>
      <c r="I34" s="273"/>
      <c r="P34" s="727"/>
    </row>
    <row r="35" spans="1:16" ht="15" x14ac:dyDescent="0.25">
      <c r="A35" s="565"/>
      <c r="B35" s="549" t="s">
        <v>153</v>
      </c>
      <c r="C35" s="708">
        <f>'March 2024'!F35</f>
        <v>42023.710000000006</v>
      </c>
      <c r="D35" s="709"/>
      <c r="E35" s="717">
        <v>160.04</v>
      </c>
      <c r="F35" s="711">
        <f>C35+D35-E35</f>
        <v>41863.670000000006</v>
      </c>
      <c r="G35" s="709"/>
      <c r="H35" s="710"/>
      <c r="I35" s="727"/>
      <c r="J35" s="319"/>
    </row>
    <row r="36" spans="1:16" ht="12" x14ac:dyDescent="0.2">
      <c r="A36" s="565"/>
      <c r="B36" s="549" t="s">
        <v>90</v>
      </c>
      <c r="C36" s="708">
        <f>'March 2024'!F36</f>
        <v>-37.5</v>
      </c>
      <c r="D36" s="576"/>
      <c r="E36" s="577"/>
      <c r="F36" s="578">
        <f t="shared" ref="F36:F37" si="3">C36+D36-E36</f>
        <v>-37.5</v>
      </c>
      <c r="G36" s="541"/>
      <c r="H36" s="543"/>
      <c r="I36" s="727"/>
      <c r="J36" s="319"/>
    </row>
    <row r="37" spans="1:16" ht="12" x14ac:dyDescent="0.2">
      <c r="A37" s="565"/>
      <c r="B37" s="549" t="s">
        <v>138</v>
      </c>
      <c r="C37" s="708">
        <f>'March 2024'!F37</f>
        <v>6049</v>
      </c>
      <c r="D37" s="576"/>
      <c r="E37" s="577"/>
      <c r="F37" s="578">
        <f t="shared" si="3"/>
        <v>6049</v>
      </c>
      <c r="G37" s="541"/>
      <c r="H37" s="543"/>
      <c r="I37" s="727"/>
      <c r="J37" s="319"/>
    </row>
    <row r="38" spans="1:16" ht="12" x14ac:dyDescent="0.2">
      <c r="A38" s="565"/>
      <c r="B38" s="579" t="s">
        <v>156</v>
      </c>
      <c r="C38" s="708">
        <f>'March 2024'!F38</f>
        <v>25443.399999999994</v>
      </c>
      <c r="D38" s="576"/>
      <c r="E38" s="558"/>
      <c r="F38" s="578">
        <f>C38+D38-E38</f>
        <v>25443.399999999994</v>
      </c>
      <c r="G38" s="541"/>
      <c r="H38" s="543"/>
      <c r="I38" s="293"/>
      <c r="J38" s="266"/>
      <c r="P38" s="326"/>
    </row>
    <row r="39" spans="1:16" ht="12" x14ac:dyDescent="0.2">
      <c r="A39" s="729"/>
      <c r="B39" s="729" t="s">
        <v>99</v>
      </c>
      <c r="C39" s="708">
        <f>'March 2024'!F39</f>
        <v>15550</v>
      </c>
      <c r="D39" s="580"/>
      <c r="E39" s="729"/>
      <c r="F39" s="578">
        <f>C39+D39-E39</f>
        <v>15550</v>
      </c>
      <c r="G39" s="729"/>
      <c r="H39" s="729"/>
    </row>
    <row r="40" spans="1:16" ht="12" x14ac:dyDescent="0.2">
      <c r="A40" s="729"/>
      <c r="B40" s="729" t="s">
        <v>131</v>
      </c>
      <c r="C40" s="708">
        <f>'March 2024'!F40</f>
        <v>10417.91</v>
      </c>
      <c r="D40" s="582"/>
      <c r="E40" s="729">
        <v>444.56</v>
      </c>
      <c r="F40" s="578">
        <f>C40+D40-E40</f>
        <v>9973.35</v>
      </c>
      <c r="G40" s="729"/>
      <c r="H40" s="729"/>
    </row>
    <row r="41" spans="1:16" ht="12.75" thickBot="1" x14ac:dyDescent="0.25">
      <c r="A41" s="729"/>
      <c r="B41" s="583" t="s">
        <v>111</v>
      </c>
      <c r="C41" s="708">
        <f>'March 2024'!F41</f>
        <v>-812.72000000000037</v>
      </c>
      <c r="D41" s="584"/>
      <c r="E41" s="729">
        <v>1811.54</v>
      </c>
      <c r="F41" s="578">
        <f>C41+D41-E41</f>
        <v>-2624.26</v>
      </c>
      <c r="G41" s="729"/>
      <c r="H41" s="729"/>
    </row>
    <row r="42" spans="1:16" ht="12.75" thickBot="1" x14ac:dyDescent="0.25">
      <c r="A42" s="828" t="s">
        <v>11</v>
      </c>
      <c r="B42" s="812"/>
      <c r="C42" s="585">
        <f>C34+C24+C18+C6</f>
        <v>574310.92000000004</v>
      </c>
      <c r="D42" s="627">
        <f>SUM(D24,D18,D6,D34)</f>
        <v>12060.78</v>
      </c>
      <c r="E42" s="587">
        <f>SUM(E24,E18,E6,E34)</f>
        <v>39722.5</v>
      </c>
      <c r="F42" s="588">
        <f>SUM(F24,F18,F6,F34)</f>
        <v>546649.14</v>
      </c>
      <c r="G42" s="589">
        <f>SUM(G6,G18,G24,G34)</f>
        <v>13500</v>
      </c>
      <c r="H42" s="730"/>
      <c r="I42" s="727"/>
      <c r="J42" s="331"/>
    </row>
    <row r="43" spans="1:16" ht="12" hidden="1" x14ac:dyDescent="0.2">
      <c r="A43" s="732"/>
      <c r="B43" s="728"/>
      <c r="C43" s="730">
        <f>SUM(C18:C23)</f>
        <v>-31470.900000000009</v>
      </c>
      <c r="D43" s="730"/>
      <c r="E43" s="730"/>
      <c r="F43" s="730"/>
      <c r="G43" s="593"/>
      <c r="H43" s="730"/>
      <c r="K43" s="726" t="s">
        <v>12</v>
      </c>
      <c r="L43" s="726">
        <v>42.43</v>
      </c>
    </row>
    <row r="44" spans="1:16" ht="12.75" hidden="1" thickBot="1" x14ac:dyDescent="0.25">
      <c r="A44" s="594" t="s">
        <v>25</v>
      </c>
      <c r="B44" s="595"/>
      <c r="C44" s="596" t="e">
        <f>SUM(C42,#REF!)</f>
        <v>#REF!</v>
      </c>
      <c r="D44" s="597" t="e">
        <f>SUM(D42,#REF!)</f>
        <v>#REF!</v>
      </c>
      <c r="E44" s="597" t="e">
        <f>SUM(E42,#REF!)</f>
        <v>#REF!</v>
      </c>
      <c r="F44" s="598" t="e">
        <f>SUM(F42,#REF!)</f>
        <v>#REF!</v>
      </c>
      <c r="G44" s="593"/>
      <c r="H44" s="730"/>
      <c r="I44" s="331"/>
      <c r="J44" s="79">
        <v>206730.35</v>
      </c>
    </row>
    <row r="45" spans="1:16" ht="12.75" thickBot="1" x14ac:dyDescent="0.25">
      <c r="A45" s="729"/>
      <c r="B45" s="599"/>
      <c r="C45" s="730"/>
      <c r="D45" s="730"/>
      <c r="E45" s="730"/>
      <c r="F45" s="730"/>
      <c r="G45" s="593"/>
      <c r="H45" s="600"/>
      <c r="I45" s="331"/>
      <c r="J45" s="79"/>
      <c r="P45" s="727"/>
    </row>
    <row r="46" spans="1:16" ht="12.75" thickBot="1" x14ac:dyDescent="0.25">
      <c r="A46" s="829" t="s">
        <v>13</v>
      </c>
      <c r="B46" s="830"/>
      <c r="C46" s="601" t="s">
        <v>2</v>
      </c>
      <c r="D46" s="601" t="s">
        <v>3</v>
      </c>
      <c r="E46" s="601" t="s">
        <v>27</v>
      </c>
      <c r="F46" s="601" t="s">
        <v>5</v>
      </c>
      <c r="G46" s="602"/>
      <c r="H46" s="603"/>
      <c r="I46" s="343"/>
    </row>
    <row r="47" spans="1:16" ht="12.75" thickBot="1" x14ac:dyDescent="0.25">
      <c r="A47" s="815" t="s">
        <v>14</v>
      </c>
      <c r="B47" s="816"/>
      <c r="C47" s="604">
        <f>'March 2024'!F47</f>
        <v>252.06999999999996</v>
      </c>
      <c r="D47" s="605"/>
      <c r="E47" s="605">
        <v>60.88</v>
      </c>
      <c r="F47" s="606">
        <f>C47+D47-E47</f>
        <v>191.18999999999997</v>
      </c>
      <c r="G47" s="730"/>
      <c r="H47" s="729"/>
      <c r="I47" s="331"/>
      <c r="J47" s="79"/>
    </row>
    <row r="48" spans="1:16" ht="12.75" thickBot="1" x14ac:dyDescent="0.25">
      <c r="A48" s="831" t="s">
        <v>15</v>
      </c>
      <c r="B48" s="832"/>
      <c r="C48" s="604">
        <f>'March 2024'!F48</f>
        <v>10301.159999999996</v>
      </c>
      <c r="D48" s="607">
        <v>37000</v>
      </c>
      <c r="E48" s="607">
        <v>30746.83</v>
      </c>
      <c r="F48" s="606">
        <f>C48+D48-E48</f>
        <v>16554.329999999994</v>
      </c>
      <c r="G48" s="730"/>
      <c r="H48" s="608"/>
      <c r="I48" s="331"/>
    </row>
    <row r="49" spans="1:16" ht="12.75" thickBot="1" x14ac:dyDescent="0.25">
      <c r="A49" s="609"/>
      <c r="B49" s="610" t="s">
        <v>21</v>
      </c>
      <c r="C49" s="604">
        <f>'March 2024'!F49</f>
        <v>0</v>
      </c>
      <c r="D49" s="611"/>
      <c r="E49" s="611"/>
      <c r="F49" s="606">
        <f t="shared" ref="F49:F52" si="4">C49+D49-E49</f>
        <v>0</v>
      </c>
      <c r="G49" s="730"/>
      <c r="H49" s="608"/>
      <c r="I49" s="79"/>
    </row>
    <row r="50" spans="1:16" ht="12.75" thickBot="1" x14ac:dyDescent="0.25">
      <c r="A50" s="609"/>
      <c r="B50" s="610" t="s">
        <v>40</v>
      </c>
      <c r="C50" s="604">
        <f>'March 2024'!F50</f>
        <v>-706.22999999999593</v>
      </c>
      <c r="D50" s="612">
        <v>204.75</v>
      </c>
      <c r="E50" s="612">
        <v>957.93</v>
      </c>
      <c r="F50" s="606">
        <f>C50+D50-E50</f>
        <v>-1459.4099999999958</v>
      </c>
      <c r="G50" s="730"/>
      <c r="H50" s="613"/>
      <c r="I50" s="79"/>
    </row>
    <row r="51" spans="1:16" ht="12.75" thickBot="1" x14ac:dyDescent="0.25">
      <c r="A51" s="692"/>
      <c r="B51" s="693" t="s">
        <v>150</v>
      </c>
      <c r="C51" s="604">
        <f>'March 2024'!F51</f>
        <v>150000</v>
      </c>
      <c r="D51" s="612"/>
      <c r="E51" s="612"/>
      <c r="F51" s="606">
        <f>C51+D51-E51</f>
        <v>150000</v>
      </c>
      <c r="G51" s="730"/>
      <c r="H51" s="613"/>
      <c r="I51" s="79"/>
    </row>
    <row r="52" spans="1:16" ht="12.75" thickBot="1" x14ac:dyDescent="0.25">
      <c r="A52" s="815" t="s">
        <v>16</v>
      </c>
      <c r="B52" s="816"/>
      <c r="C52" s="604">
        <f>'March 2024'!F52</f>
        <v>199495.75000000009</v>
      </c>
      <c r="D52" s="614">
        <v>5037.8900000000003</v>
      </c>
      <c r="E52" s="614">
        <v>37000</v>
      </c>
      <c r="F52" s="606">
        <f t="shared" si="4"/>
        <v>167533.6400000001</v>
      </c>
      <c r="G52" s="730"/>
      <c r="H52" s="613"/>
      <c r="I52" s="79"/>
    </row>
    <row r="53" spans="1:16" ht="12.75" thickBot="1" x14ac:dyDescent="0.25">
      <c r="A53" s="615" t="s">
        <v>162</v>
      </c>
      <c r="B53" s="616"/>
      <c r="C53" s="604">
        <f>'March 2024'!F53</f>
        <v>214968.21999999991</v>
      </c>
      <c r="D53" s="576">
        <v>274.7</v>
      </c>
      <c r="E53" s="576">
        <f>1375+38.42</f>
        <v>1413.42</v>
      </c>
      <c r="F53" s="606">
        <f>C53+D53-E53</f>
        <v>213829.49999999991</v>
      </c>
      <c r="G53" s="730"/>
      <c r="H53" s="613"/>
      <c r="I53" s="79"/>
    </row>
    <row r="54" spans="1:16" ht="12.75" thickBot="1" x14ac:dyDescent="0.25">
      <c r="A54" s="811"/>
      <c r="B54" s="812"/>
      <c r="C54" s="617">
        <f>SUM(C47+C48+C52+C53+C50+C49+C51)</f>
        <v>574310.97</v>
      </c>
      <c r="D54" s="618">
        <f>SUM(D47:D53)</f>
        <v>42517.34</v>
      </c>
      <c r="E54" s="618">
        <f>SUM(E47:E53)</f>
        <v>70179.06</v>
      </c>
      <c r="F54" s="606">
        <f>C54+D54-E54</f>
        <v>546649.25</v>
      </c>
      <c r="G54" s="730"/>
      <c r="H54" s="603"/>
      <c r="I54" s="79"/>
      <c r="J54" s="266"/>
    </row>
    <row r="55" spans="1:16" ht="12" x14ac:dyDescent="0.2">
      <c r="A55" s="732"/>
      <c r="B55" s="728"/>
      <c r="C55" s="730">
        <f>C42-C54</f>
        <v>-4.9999999930150807E-2</v>
      </c>
      <c r="D55" s="730"/>
      <c r="E55" s="730"/>
      <c r="F55" s="730">
        <f>F42-F54</f>
        <v>-0.10999999998603016</v>
      </c>
      <c r="G55" s="729"/>
      <c r="H55" s="730"/>
      <c r="I55" s="331"/>
      <c r="J55" s="331"/>
      <c r="K55" s="266"/>
    </row>
    <row r="56" spans="1:16" ht="12" x14ac:dyDescent="0.2">
      <c r="A56" s="729"/>
      <c r="B56" s="599"/>
      <c r="C56" s="730"/>
      <c r="D56" s="730"/>
      <c r="E56" s="730"/>
      <c r="F56" s="730"/>
      <c r="G56" s="730"/>
      <c r="H56" s="730"/>
      <c r="I56" s="331"/>
    </row>
    <row r="57" spans="1:16" ht="12" x14ac:dyDescent="0.2">
      <c r="A57" s="813" t="s">
        <v>17</v>
      </c>
      <c r="B57" s="813"/>
      <c r="C57" s="813"/>
      <c r="D57" s="813"/>
      <c r="E57" s="814" t="s">
        <v>18</v>
      </c>
      <c r="F57" s="814"/>
      <c r="G57" s="730"/>
      <c r="H57" s="730"/>
      <c r="J57" s="331"/>
    </row>
    <row r="58" spans="1:16" ht="12" x14ac:dyDescent="0.2">
      <c r="A58" s="729"/>
      <c r="B58" s="729"/>
      <c r="C58" s="730"/>
      <c r="D58" s="730"/>
      <c r="E58" s="730"/>
      <c r="F58" s="730"/>
      <c r="G58" s="730"/>
      <c r="H58" s="730"/>
    </row>
    <row r="59" spans="1:16" ht="12" x14ac:dyDescent="0.2">
      <c r="A59" s="813" t="s">
        <v>19</v>
      </c>
      <c r="B59" s="813"/>
      <c r="C59" s="813"/>
      <c r="D59" s="813"/>
      <c r="E59" s="814" t="s">
        <v>18</v>
      </c>
      <c r="F59" s="814"/>
      <c r="G59" s="730"/>
      <c r="H59" s="730"/>
    </row>
    <row r="60" spans="1:16" ht="12" x14ac:dyDescent="0.2">
      <c r="A60" s="732"/>
      <c r="B60" s="728"/>
      <c r="C60" s="524"/>
      <c r="D60" s="524"/>
      <c r="E60" s="524"/>
      <c r="F60" s="613"/>
      <c r="G60" s="524"/>
      <c r="H60" s="524"/>
      <c r="I60" s="331"/>
      <c r="J60" s="79"/>
      <c r="P60" s="364"/>
    </row>
    <row r="61" spans="1:16" ht="12" x14ac:dyDescent="0.2">
      <c r="A61" s="729"/>
      <c r="B61" s="599"/>
      <c r="C61" s="603"/>
      <c r="D61" s="603"/>
      <c r="E61" s="603"/>
      <c r="H61" s="729"/>
      <c r="I61" s="331"/>
      <c r="J61" s="343"/>
      <c r="L61" s="266"/>
      <c r="P61" s="364"/>
    </row>
    <row r="62" spans="1:16" x14ac:dyDescent="0.2">
      <c r="B62" s="340"/>
      <c r="C62" s="79"/>
      <c r="D62" s="331"/>
      <c r="J62" s="331"/>
    </row>
  </sheetData>
  <mergeCells count="17">
    <mergeCell ref="A52:B52"/>
    <mergeCell ref="A2:G2"/>
    <mergeCell ref="A3:G3"/>
    <mergeCell ref="A5:B5"/>
    <mergeCell ref="A6:B6"/>
    <mergeCell ref="A18:B18"/>
    <mergeCell ref="A24:B24"/>
    <mergeCell ref="A34:B34"/>
    <mergeCell ref="A42:B42"/>
    <mergeCell ref="A46:B46"/>
    <mergeCell ref="A47:B47"/>
    <mergeCell ref="A48:B48"/>
    <mergeCell ref="A54:B54"/>
    <mergeCell ref="A57:D57"/>
    <mergeCell ref="E57:F57"/>
    <mergeCell ref="A59:D59"/>
    <mergeCell ref="E59:F59"/>
  </mergeCells>
  <pageMargins left="0.7" right="0.7" top="0.75" bottom="0.75" header="0.3" footer="0.3"/>
  <pageSetup scale="81" orientation="portrait" r:id="rId1"/>
  <legacy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3EBE9-279D-45A3-A412-677B39FA2BEE}">
  <sheetPr>
    <pageSetUpPr fitToPage="1"/>
  </sheetPr>
  <dimension ref="A1:R62"/>
  <sheetViews>
    <sheetView topLeftCell="A23" zoomScale="130" zoomScaleNormal="130" workbookViewId="0">
      <selection activeCell="E8" sqref="E8"/>
    </sheetView>
  </sheetViews>
  <sheetFormatPr defaultColWidth="9.140625" defaultRowHeight="11.25" x14ac:dyDescent="0.2"/>
  <cols>
    <col min="1" max="1" width="10.7109375" style="733" customWidth="1"/>
    <col min="2" max="2" width="37.42578125" style="733" customWidth="1"/>
    <col min="3" max="3" width="10" style="733" customWidth="1"/>
    <col min="4" max="4" width="8.85546875" style="733" customWidth="1"/>
    <col min="5" max="6" width="10.28515625" style="733" customWidth="1"/>
    <col min="7" max="7" width="8.85546875" style="733" customWidth="1"/>
    <col min="8" max="8" width="13.85546875" style="733" customWidth="1"/>
    <col min="9" max="9" width="14.7109375" style="733" customWidth="1"/>
    <col min="10" max="10" width="14.5703125" style="733" customWidth="1"/>
    <col min="11" max="11" width="11.28515625" style="733" customWidth="1"/>
    <col min="12" max="15" width="9.140625" style="733"/>
    <col min="16" max="16" width="13" style="733" customWidth="1"/>
    <col min="17" max="16384" width="9.140625" style="733"/>
  </cols>
  <sheetData>
    <row r="1" spans="1:18" hidden="1" x14ac:dyDescent="0.2"/>
    <row r="2" spans="1:18" ht="12" x14ac:dyDescent="0.2">
      <c r="A2" s="817" t="s">
        <v>0</v>
      </c>
      <c r="B2" s="817"/>
      <c r="C2" s="817"/>
      <c r="D2" s="817"/>
      <c r="E2" s="817"/>
      <c r="F2" s="817"/>
      <c r="G2" s="817"/>
      <c r="H2" s="735"/>
    </row>
    <row r="3" spans="1:18" ht="12" x14ac:dyDescent="0.2">
      <c r="A3" s="818" t="s">
        <v>163</v>
      </c>
      <c r="B3" s="818"/>
      <c r="C3" s="818"/>
      <c r="D3" s="818"/>
      <c r="E3" s="818"/>
      <c r="F3" s="818"/>
      <c r="G3" s="818"/>
      <c r="H3" s="526" t="s">
        <v>133</v>
      </c>
      <c r="I3" s="738"/>
    </row>
    <row r="4" spans="1:18" ht="12.75" thickBot="1" x14ac:dyDescent="0.25">
      <c r="A4" s="738"/>
      <c r="B4" s="523" t="s">
        <v>37</v>
      </c>
      <c r="C4" s="738"/>
      <c r="D4" s="738"/>
      <c r="E4" s="738"/>
      <c r="F4" s="524"/>
      <c r="G4" s="738"/>
      <c r="H4" s="530" t="s">
        <v>134</v>
      </c>
    </row>
    <row r="5" spans="1:18" ht="15.75" customHeight="1" x14ac:dyDescent="0.2">
      <c r="A5" s="819" t="s">
        <v>1</v>
      </c>
      <c r="B5" s="820"/>
      <c r="C5" s="525" t="s">
        <v>2</v>
      </c>
      <c r="D5" s="525" t="s">
        <v>3</v>
      </c>
      <c r="E5" s="525" t="s">
        <v>58</v>
      </c>
      <c r="F5" s="525" t="s">
        <v>5</v>
      </c>
      <c r="G5" s="525" t="s">
        <v>6</v>
      </c>
      <c r="H5" s="538" t="s">
        <v>135</v>
      </c>
    </row>
    <row r="6" spans="1:18" ht="12" x14ac:dyDescent="0.2">
      <c r="A6" s="821" t="s">
        <v>132</v>
      </c>
      <c r="B6" s="822"/>
      <c r="C6" s="527">
        <f>SUM(C7:C17)</f>
        <v>386730.11</v>
      </c>
      <c r="D6" s="528">
        <f>SUM(D7:D17)</f>
        <v>1119.29</v>
      </c>
      <c r="E6" s="528">
        <f>SUM(E7:E17)</f>
        <v>3388.2299999999991</v>
      </c>
      <c r="F6" s="528">
        <f>SUM(F7:F17)</f>
        <v>384461.16999999993</v>
      </c>
      <c r="G6" s="529">
        <f>SUM(G7:G15)</f>
        <v>0</v>
      </c>
      <c r="I6" s="273"/>
      <c r="J6" s="273"/>
      <c r="K6" s="734"/>
      <c r="P6" s="734"/>
      <c r="R6" s="734"/>
    </row>
    <row r="7" spans="1:18" ht="12" customHeight="1" x14ac:dyDescent="0.2">
      <c r="A7" s="531"/>
      <c r="B7" s="532" t="s">
        <v>23</v>
      </c>
      <c r="C7" s="533">
        <f>'April 2024'!F7</f>
        <v>227587.06</v>
      </c>
      <c r="D7" s="534">
        <f>525+346.88</f>
        <v>871.88</v>
      </c>
      <c r="E7" s="535">
        <f>1375+74.83+4661.29+1558.25+30+550+37.5-11827.17</f>
        <v>-3540.3000000000011</v>
      </c>
      <c r="F7" s="536">
        <f>C7+D7-E7</f>
        <v>231999.24</v>
      </c>
      <c r="G7" s="537"/>
      <c r="I7" s="734"/>
    </row>
    <row r="8" spans="1:18" ht="12" x14ac:dyDescent="0.2">
      <c r="A8" s="539"/>
      <c r="B8" s="540" t="s">
        <v>159</v>
      </c>
      <c r="C8" s="533">
        <f>'April 2024'!F8</f>
        <v>-11909.039999999999</v>
      </c>
      <c r="D8" s="541">
        <v>93.57</v>
      </c>
      <c r="E8" s="541">
        <f>3023.03+1000</f>
        <v>4023.03</v>
      </c>
      <c r="F8" s="542">
        <f>C8+D8-E8</f>
        <v>-15838.5</v>
      </c>
      <c r="G8" s="537"/>
      <c r="H8" s="543"/>
      <c r="I8" s="287"/>
    </row>
    <row r="9" spans="1:18" ht="12" hidden="1" x14ac:dyDescent="0.2">
      <c r="A9" s="539"/>
      <c r="B9" s="544" t="s">
        <v>67</v>
      </c>
      <c r="C9" s="533">
        <f>'April 2024'!F9</f>
        <v>0</v>
      </c>
      <c r="D9" s="541"/>
      <c r="E9" s="541"/>
      <c r="F9" s="536">
        <f t="shared" ref="F9:F15" si="0">C9+D9-E9</f>
        <v>0</v>
      </c>
      <c r="G9" s="537"/>
      <c r="H9" s="543"/>
      <c r="I9" s="289"/>
      <c r="J9" s="734"/>
    </row>
    <row r="10" spans="1:18" ht="12" hidden="1" x14ac:dyDescent="0.2">
      <c r="A10" s="539"/>
      <c r="B10" s="544" t="s">
        <v>41</v>
      </c>
      <c r="C10" s="533">
        <f>'April 2024'!F10</f>
        <v>-1.0000000002037268E-2</v>
      </c>
      <c r="D10" s="545"/>
      <c r="E10" s="545"/>
      <c r="F10" s="542">
        <f t="shared" si="0"/>
        <v>-1.0000000002037268E-2</v>
      </c>
      <c r="G10" s="537"/>
      <c r="H10" s="543"/>
      <c r="I10" s="291"/>
      <c r="J10" s="734"/>
    </row>
    <row r="11" spans="1:18" ht="12" x14ac:dyDescent="0.2">
      <c r="A11" s="539"/>
      <c r="B11" s="544" t="s">
        <v>117</v>
      </c>
      <c r="C11" s="533">
        <f>'April 2024'!F11</f>
        <v>1136</v>
      </c>
      <c r="D11" s="546"/>
      <c r="E11" s="546"/>
      <c r="F11" s="536">
        <f t="shared" si="0"/>
        <v>1136</v>
      </c>
      <c r="G11" s="537"/>
      <c r="H11" s="543"/>
      <c r="I11" s="293"/>
    </row>
    <row r="12" spans="1:18" ht="12" x14ac:dyDescent="0.2">
      <c r="A12" s="539"/>
      <c r="B12" s="544" t="s">
        <v>20</v>
      </c>
      <c r="C12" s="533">
        <f>'April 2024'!F12</f>
        <v>12465.12</v>
      </c>
      <c r="D12" s="547"/>
      <c r="E12" s="547">
        <f>2155.7+749.8</f>
        <v>2905.5</v>
      </c>
      <c r="F12" s="548">
        <f>C12+D12-E12</f>
        <v>9559.6200000000008</v>
      </c>
      <c r="G12" s="537"/>
      <c r="H12" s="543"/>
      <c r="I12" s="734"/>
    </row>
    <row r="13" spans="1:18" ht="12" x14ac:dyDescent="0.2">
      <c r="A13" s="539"/>
      <c r="B13" s="544" t="s">
        <v>22</v>
      </c>
      <c r="C13" s="533">
        <f>'April 2024'!F13</f>
        <v>438.99999999999977</v>
      </c>
      <c r="D13" s="547">
        <v>153.84</v>
      </c>
      <c r="E13" s="547"/>
      <c r="F13" s="548">
        <f>C13+D13-E13</f>
        <v>592.8399999999998</v>
      </c>
      <c r="G13" s="537"/>
      <c r="H13" s="543"/>
      <c r="I13" s="734"/>
    </row>
    <row r="14" spans="1:18" ht="12" x14ac:dyDescent="0.2">
      <c r="A14" s="539"/>
      <c r="B14" s="544" t="s">
        <v>28</v>
      </c>
      <c r="C14" s="533">
        <f>'April 2024'!F14</f>
        <v>-306.39000000000107</v>
      </c>
      <c r="D14" s="547"/>
      <c r="E14" s="547"/>
      <c r="F14" s="542">
        <f t="shared" si="0"/>
        <v>-306.39000000000107</v>
      </c>
      <c r="G14" s="537"/>
      <c r="H14" s="543"/>
      <c r="I14" s="734"/>
    </row>
    <row r="15" spans="1:18" ht="12" x14ac:dyDescent="0.2">
      <c r="A15" s="539"/>
      <c r="B15" s="549" t="s">
        <v>42</v>
      </c>
      <c r="C15" s="533">
        <f>'April 2024'!F15</f>
        <v>-1056.5999999999999</v>
      </c>
      <c r="D15" s="541"/>
      <c r="E15" s="541"/>
      <c r="F15" s="550">
        <f t="shared" si="0"/>
        <v>-1056.5999999999999</v>
      </c>
      <c r="G15" s="537"/>
      <c r="H15" s="543"/>
      <c r="I15" s="734"/>
    </row>
    <row r="16" spans="1:18" ht="12" x14ac:dyDescent="0.2">
      <c r="A16" s="539"/>
      <c r="B16" s="549" t="s">
        <v>43</v>
      </c>
      <c r="C16" s="533">
        <f>'April 2024'!F16</f>
        <v>-115.92000000000063</v>
      </c>
      <c r="D16" s="541"/>
      <c r="E16" s="541"/>
      <c r="F16" s="548">
        <f>C16+D16-E16</f>
        <v>-115.92000000000063</v>
      </c>
      <c r="G16" s="537"/>
      <c r="H16" s="543"/>
      <c r="I16" s="273"/>
      <c r="P16" s="734"/>
    </row>
    <row r="17" spans="1:16" ht="12" x14ac:dyDescent="0.2">
      <c r="A17" s="658"/>
      <c r="B17" s="659" t="s">
        <v>141</v>
      </c>
      <c r="C17" s="533">
        <f>'April 2024'!F17</f>
        <v>158490.89000000001</v>
      </c>
      <c r="D17" s="541"/>
      <c r="E17" s="541"/>
      <c r="F17" s="548">
        <f>C17+D17-E17</f>
        <v>158490.89000000001</v>
      </c>
      <c r="G17" s="537"/>
      <c r="H17" s="543"/>
      <c r="I17" s="273"/>
      <c r="P17" s="734"/>
    </row>
    <row r="18" spans="1:16" ht="12" x14ac:dyDescent="0.2">
      <c r="A18" s="823" t="s">
        <v>53</v>
      </c>
      <c r="B18" s="823"/>
      <c r="C18" s="551">
        <f>SUM(C19:C23)</f>
        <v>-21481.960000000003</v>
      </c>
      <c r="D18" s="552">
        <f>SUM(D19:D23)</f>
        <v>10000</v>
      </c>
      <c r="E18" s="552">
        <f>SUM(E19:E23)</f>
        <v>1089.08</v>
      </c>
      <c r="F18" s="542">
        <f>SUM(F19:F23)</f>
        <v>-12357.140000000003</v>
      </c>
      <c r="G18" s="553">
        <f>SUM(G21+G23+G19)</f>
        <v>13500</v>
      </c>
      <c r="H18" s="543"/>
      <c r="I18" s="273"/>
      <c r="P18" s="734"/>
    </row>
    <row r="19" spans="1:16" ht="12" x14ac:dyDescent="0.2">
      <c r="A19" s="554"/>
      <c r="B19" s="555" t="s">
        <v>9</v>
      </c>
      <c r="C19" s="556">
        <f>'April 2024'!F19</f>
        <v>-10300.590000000002</v>
      </c>
      <c r="D19" s="557">
        <f>10000</f>
        <v>10000</v>
      </c>
      <c r="E19" s="558"/>
      <c r="F19" s="559">
        <f>C19+D19-E19+213.9</f>
        <v>-86.690000000001959</v>
      </c>
      <c r="G19" s="541"/>
      <c r="H19" s="560" t="s">
        <v>165</v>
      </c>
      <c r="I19" s="734"/>
      <c r="J19" s="79"/>
    </row>
    <row r="20" spans="1:16" ht="12" x14ac:dyDescent="0.2">
      <c r="A20" s="539"/>
      <c r="B20" s="561" t="s">
        <v>8</v>
      </c>
      <c r="C20" s="556">
        <f>'April 2024'!F20</f>
        <v>1009.9100000000005</v>
      </c>
      <c r="D20" s="547"/>
      <c r="E20" s="545">
        <v>253.3</v>
      </c>
      <c r="F20" s="559">
        <f>C20+D20-E20</f>
        <v>756.61000000000058</v>
      </c>
      <c r="G20" s="562"/>
      <c r="H20" s="560"/>
      <c r="I20" s="734"/>
    </row>
    <row r="21" spans="1:16" ht="12" x14ac:dyDescent="0.2">
      <c r="A21" s="539"/>
      <c r="B21" s="563" t="s">
        <v>32</v>
      </c>
      <c r="C21" s="556">
        <f>'April 2024'!F21</f>
        <v>-8251.1500000000015</v>
      </c>
      <c r="D21" s="547"/>
      <c r="E21" s="545">
        <v>160.04</v>
      </c>
      <c r="F21" s="559">
        <f t="shared" ref="F21:F23" si="1">C21+D21-E21</f>
        <v>-8411.1900000000023</v>
      </c>
      <c r="G21" s="564">
        <v>5000</v>
      </c>
      <c r="H21" s="560"/>
      <c r="I21" s="734"/>
    </row>
    <row r="22" spans="1:16" ht="12" hidden="1" x14ac:dyDescent="0.2">
      <c r="A22" s="539"/>
      <c r="B22" s="561"/>
      <c r="C22" s="556">
        <f>'April 2024'!F22</f>
        <v>0</v>
      </c>
      <c r="D22" s="547"/>
      <c r="E22" s="547"/>
      <c r="F22" s="559"/>
      <c r="G22" s="564"/>
      <c r="H22" s="560"/>
      <c r="I22" s="734"/>
    </row>
    <row r="23" spans="1:16" ht="12" x14ac:dyDescent="0.2">
      <c r="A23" s="565"/>
      <c r="B23" s="566" t="s">
        <v>38</v>
      </c>
      <c r="C23" s="556">
        <f>'April 2024'!F23</f>
        <v>-3940.13</v>
      </c>
      <c r="D23" s="567"/>
      <c r="E23" s="558">
        <v>675.74</v>
      </c>
      <c r="F23" s="559">
        <f t="shared" si="1"/>
        <v>-4615.87</v>
      </c>
      <c r="G23" s="541">
        <v>8500</v>
      </c>
      <c r="H23" s="560"/>
      <c r="I23" s="734"/>
      <c r="J23" s="79"/>
    </row>
    <row r="24" spans="1:16" ht="12" x14ac:dyDescent="0.2">
      <c r="A24" s="824" t="s">
        <v>10</v>
      </c>
      <c r="B24" s="825"/>
      <c r="C24" s="551">
        <f>SUM(C25:C33)</f>
        <v>85183.390000000014</v>
      </c>
      <c r="D24" s="568">
        <f>SUM(D25:D33)</f>
        <v>0</v>
      </c>
      <c r="E24" s="569">
        <f>SUM(E25:E33)</f>
        <v>13161.07</v>
      </c>
      <c r="F24" s="569">
        <f>SUM(F25:F33)-0.08</f>
        <v>72022.260000000024</v>
      </c>
      <c r="G24" s="570"/>
      <c r="H24" s="543"/>
      <c r="I24" s="273">
        <f>11119.29-11333.19</f>
        <v>-213.89999999999964</v>
      </c>
      <c r="P24" s="734"/>
    </row>
    <row r="25" spans="1:16" ht="12" hidden="1" x14ac:dyDescent="0.2">
      <c r="A25" s="554"/>
      <c r="B25" s="571" t="s">
        <v>55</v>
      </c>
      <c r="C25" s="556">
        <f>'February 2021'!G24</f>
        <v>0</v>
      </c>
      <c r="D25" s="572"/>
      <c r="E25" s="557"/>
      <c r="F25" s="573">
        <f>C25+D25-E25</f>
        <v>0</v>
      </c>
      <c r="G25" s="534"/>
      <c r="H25" s="543"/>
      <c r="I25" s="734"/>
      <c r="J25" s="319"/>
    </row>
    <row r="26" spans="1:16" ht="12" hidden="1" x14ac:dyDescent="0.2">
      <c r="A26" s="565"/>
      <c r="B26" s="549" t="s">
        <v>70</v>
      </c>
      <c r="C26" s="556">
        <f>'January 2022'!F25</f>
        <v>7.9999999998108251E-2</v>
      </c>
      <c r="D26" s="567"/>
      <c r="E26" s="567"/>
      <c r="F26" s="573">
        <f>C26+D26-E26</f>
        <v>7.9999999998108251E-2</v>
      </c>
      <c r="G26" s="541"/>
      <c r="H26" s="543"/>
      <c r="I26" s="734"/>
      <c r="J26" s="319"/>
    </row>
    <row r="27" spans="1:16" ht="12" hidden="1" x14ac:dyDescent="0.2">
      <c r="A27" s="531"/>
      <c r="B27" s="574" t="s">
        <v>105</v>
      </c>
      <c r="C27" s="556">
        <f>'April 2023'!F26</f>
        <v>-1.9999999992592166E-2</v>
      </c>
      <c r="D27" s="558"/>
      <c r="E27" s="575"/>
      <c r="F27" s="573">
        <f>C27+D27-E27+0.02</f>
        <v>7.4078347622741347E-12</v>
      </c>
      <c r="G27" s="541"/>
      <c r="H27" s="543"/>
      <c r="I27" s="734"/>
      <c r="J27" s="734"/>
    </row>
    <row r="28" spans="1:16" ht="12" hidden="1" x14ac:dyDescent="0.2">
      <c r="A28" s="531"/>
      <c r="B28" s="574" t="s">
        <v>39</v>
      </c>
      <c r="C28" s="556">
        <f>'April 2023'!F27</f>
        <v>8.1854523159563541E-12</v>
      </c>
      <c r="D28" s="567"/>
      <c r="E28" s="558"/>
      <c r="F28" s="573">
        <f t="shared" ref="F28:F32" si="2">C28+D28-E28</f>
        <v>8.1854523159563541E-12</v>
      </c>
      <c r="G28" s="541"/>
      <c r="H28" s="543"/>
      <c r="I28" s="734"/>
      <c r="J28" s="734"/>
    </row>
    <row r="29" spans="1:16" ht="12" x14ac:dyDescent="0.2">
      <c r="A29" s="531"/>
      <c r="B29" s="574" t="s">
        <v>152</v>
      </c>
      <c r="C29" s="556">
        <f>'April 2024'!F29</f>
        <v>59934.01</v>
      </c>
      <c r="D29" s="567"/>
      <c r="E29" s="567">
        <f>3076.37+298.75</f>
        <v>3375.12</v>
      </c>
      <c r="F29" s="573">
        <f t="shared" si="2"/>
        <v>56558.89</v>
      </c>
      <c r="G29" s="541"/>
      <c r="H29" s="543"/>
      <c r="I29" s="734"/>
      <c r="J29" s="734"/>
    </row>
    <row r="30" spans="1:16" ht="12" hidden="1" x14ac:dyDescent="0.2">
      <c r="A30" s="531"/>
      <c r="B30" s="574" t="s">
        <v>86</v>
      </c>
      <c r="C30" s="556">
        <f>'April 2024'!F30</f>
        <v>-1.9326762412674725E-12</v>
      </c>
      <c r="D30" s="567"/>
      <c r="E30" s="567"/>
      <c r="F30" s="573">
        <f t="shared" si="2"/>
        <v>-1.9326762412674725E-12</v>
      </c>
      <c r="G30" s="541"/>
      <c r="H30" s="543"/>
      <c r="I30" s="734"/>
      <c r="J30" s="734"/>
    </row>
    <row r="31" spans="1:16" ht="12" hidden="1" x14ac:dyDescent="0.2">
      <c r="A31" s="531"/>
      <c r="B31" s="574" t="s">
        <v>101</v>
      </c>
      <c r="C31" s="556">
        <f>'April 2024'!F31</f>
        <v>1.9554136088117957E-11</v>
      </c>
      <c r="D31" s="567"/>
      <c r="E31" s="567"/>
      <c r="F31" s="573">
        <f t="shared" si="2"/>
        <v>1.9554136088117957E-11</v>
      </c>
      <c r="G31" s="541"/>
      <c r="H31" s="543"/>
      <c r="I31" s="734"/>
      <c r="J31" s="734"/>
    </row>
    <row r="32" spans="1:16" ht="12" x14ac:dyDescent="0.2">
      <c r="A32" s="531"/>
      <c r="B32" s="574" t="s">
        <v>119</v>
      </c>
      <c r="C32" s="556">
        <f>'April 2024'!F32</f>
        <v>41158.059999999983</v>
      </c>
      <c r="D32" s="567"/>
      <c r="E32" s="567">
        <v>9394.7199999999993</v>
      </c>
      <c r="F32" s="573">
        <f t="shared" si="2"/>
        <v>31763.339999999982</v>
      </c>
      <c r="G32" s="541"/>
      <c r="H32" s="543"/>
      <c r="I32" s="734"/>
      <c r="J32" s="734"/>
    </row>
    <row r="33" spans="1:16" ht="12" x14ac:dyDescent="0.2">
      <c r="A33" s="531"/>
      <c r="B33" s="549" t="s">
        <v>44</v>
      </c>
      <c r="C33" s="556">
        <f>'April 2024'!F33</f>
        <v>-15908.739999999998</v>
      </c>
      <c r="D33" s="567"/>
      <c r="E33" s="558">
        <v>391.23</v>
      </c>
      <c r="F33" s="573">
        <f>C33+D33-E33</f>
        <v>-16299.969999999998</v>
      </c>
      <c r="G33" s="541"/>
      <c r="H33" s="543"/>
      <c r="I33" s="734"/>
      <c r="J33" s="734"/>
    </row>
    <row r="34" spans="1:16" ht="12" x14ac:dyDescent="0.2">
      <c r="A34" s="826" t="s">
        <v>35</v>
      </c>
      <c r="B34" s="827"/>
      <c r="C34" s="551">
        <f>SUM(C35:C41)</f>
        <v>96217.660000000018</v>
      </c>
      <c r="D34" s="568">
        <f>SUM(D35:D41)</f>
        <v>37.5</v>
      </c>
      <c r="E34" s="569">
        <f>SUM(E35:E41)</f>
        <v>2624.65</v>
      </c>
      <c r="F34" s="569">
        <f>SUM(F35:F41)</f>
        <v>93630.510000000009</v>
      </c>
      <c r="G34" s="570">
        <f>SUM(G35:G38)</f>
        <v>0</v>
      </c>
      <c r="H34" s="543"/>
      <c r="I34" s="273"/>
      <c r="P34" s="734"/>
    </row>
    <row r="35" spans="1:16" ht="15" x14ac:dyDescent="0.25">
      <c r="A35" s="565"/>
      <c r="B35" s="549" t="s">
        <v>153</v>
      </c>
      <c r="C35" s="708">
        <f>'April 2024'!F35</f>
        <v>41863.670000000006</v>
      </c>
      <c r="D35" s="709"/>
      <c r="E35" s="717">
        <v>889.13</v>
      </c>
      <c r="F35" s="711">
        <f>C35+D35-E35</f>
        <v>40974.540000000008</v>
      </c>
      <c r="G35" s="709"/>
      <c r="H35" s="710"/>
      <c r="I35" s="734"/>
      <c r="J35" s="319"/>
    </row>
    <row r="36" spans="1:16" ht="12" x14ac:dyDescent="0.2">
      <c r="A36" s="565"/>
      <c r="B36" s="549" t="s">
        <v>90</v>
      </c>
      <c r="C36" s="708">
        <f>'April 2024'!F36</f>
        <v>-37.5</v>
      </c>
      <c r="D36" s="576">
        <v>37.5</v>
      </c>
      <c r="E36" s="577"/>
      <c r="F36" s="578">
        <f t="shared" ref="F36:F37" si="3">C36+D36-E36</f>
        <v>0</v>
      </c>
      <c r="G36" s="541"/>
      <c r="H36" s="543" t="s">
        <v>165</v>
      </c>
      <c r="I36" s="734"/>
      <c r="J36" s="319"/>
    </row>
    <row r="37" spans="1:16" ht="12" x14ac:dyDescent="0.2">
      <c r="A37" s="565"/>
      <c r="B37" s="549" t="s">
        <v>138</v>
      </c>
      <c r="C37" s="708">
        <f>'April 2024'!F37</f>
        <v>6049</v>
      </c>
      <c r="D37" s="576"/>
      <c r="E37" s="577"/>
      <c r="F37" s="578">
        <f t="shared" si="3"/>
        <v>6049</v>
      </c>
      <c r="G37" s="541"/>
      <c r="H37" s="543"/>
      <c r="I37" s="734"/>
      <c r="J37" s="319"/>
    </row>
    <row r="38" spans="1:16" ht="12" x14ac:dyDescent="0.2">
      <c r="A38" s="565"/>
      <c r="B38" s="579" t="s">
        <v>164</v>
      </c>
      <c r="C38" s="708">
        <f>'April 2024'!F38</f>
        <v>25443.399999999994</v>
      </c>
      <c r="D38" s="576"/>
      <c r="E38" s="558">
        <v>235.52</v>
      </c>
      <c r="F38" s="578">
        <f>C38+D38-E38</f>
        <v>25207.879999999994</v>
      </c>
      <c r="G38" s="541"/>
      <c r="H38" s="543"/>
      <c r="I38" s="293"/>
      <c r="J38" s="266"/>
      <c r="P38" s="326"/>
    </row>
    <row r="39" spans="1:16" ht="12" x14ac:dyDescent="0.2">
      <c r="A39" s="738"/>
      <c r="B39" s="738" t="s">
        <v>99</v>
      </c>
      <c r="C39" s="708">
        <f>'April 2024'!F39</f>
        <v>15550</v>
      </c>
      <c r="D39" s="580"/>
      <c r="E39" s="738"/>
      <c r="F39" s="578">
        <f>C39+D39-E39</f>
        <v>15550</v>
      </c>
      <c r="G39" s="738"/>
      <c r="H39" s="738"/>
    </row>
    <row r="40" spans="1:16" ht="12" x14ac:dyDescent="0.2">
      <c r="A40" s="738"/>
      <c r="B40" s="738" t="s">
        <v>131</v>
      </c>
      <c r="C40" s="708">
        <f>'April 2024'!F40</f>
        <v>9973.35</v>
      </c>
      <c r="D40" s="582"/>
      <c r="E40" s="738"/>
      <c r="F40" s="578">
        <f>C40+D40-E40</f>
        <v>9973.35</v>
      </c>
      <c r="G40" s="738"/>
      <c r="H40" s="738"/>
    </row>
    <row r="41" spans="1:16" ht="12.75" thickBot="1" x14ac:dyDescent="0.25">
      <c r="A41" s="738"/>
      <c r="B41" s="583" t="s">
        <v>111</v>
      </c>
      <c r="C41" s="708">
        <f>'April 2024'!F41</f>
        <v>-2624.26</v>
      </c>
      <c r="D41" s="584"/>
      <c r="E41" s="740">
        <v>1500</v>
      </c>
      <c r="F41" s="578">
        <f>C41+D41-E41</f>
        <v>-4124.26</v>
      </c>
      <c r="G41" s="738"/>
      <c r="H41" s="738"/>
    </row>
    <row r="42" spans="1:16" ht="12.75" thickBot="1" x14ac:dyDescent="0.25">
      <c r="A42" s="828" t="s">
        <v>11</v>
      </c>
      <c r="B42" s="812"/>
      <c r="C42" s="585">
        <f>C34+C24+C18+C6</f>
        <v>546649.20000000007</v>
      </c>
      <c r="D42" s="627">
        <f>SUM(D24,D18,D6,D34)</f>
        <v>11156.79</v>
      </c>
      <c r="E42" s="587">
        <f>SUM(E24,E18,E6,E34)</f>
        <v>20263.03</v>
      </c>
      <c r="F42" s="588">
        <f>SUM(F24,F18,F6,F34)</f>
        <v>537756.79999999993</v>
      </c>
      <c r="G42" s="589">
        <f>SUM(G6,G18,G24,G34)</f>
        <v>13500</v>
      </c>
      <c r="H42" s="739"/>
      <c r="I42" s="734"/>
      <c r="J42" s="331"/>
    </row>
    <row r="43" spans="1:16" ht="12" hidden="1" x14ac:dyDescent="0.2">
      <c r="A43" s="736"/>
      <c r="B43" s="737"/>
      <c r="C43" s="739">
        <f>SUM(C18:C23)</f>
        <v>-42963.920000000006</v>
      </c>
      <c r="D43" s="739"/>
      <c r="E43" s="739"/>
      <c r="F43" s="739"/>
      <c r="G43" s="593"/>
      <c r="H43" s="739"/>
      <c r="K43" s="733" t="s">
        <v>12</v>
      </c>
      <c r="L43" s="733">
        <v>42.43</v>
      </c>
    </row>
    <row r="44" spans="1:16" ht="12.75" hidden="1" thickBot="1" x14ac:dyDescent="0.25">
      <c r="A44" s="594" t="s">
        <v>25</v>
      </c>
      <c r="B44" s="595"/>
      <c r="C44" s="596" t="e">
        <f>SUM(C42,#REF!)</f>
        <v>#REF!</v>
      </c>
      <c r="D44" s="597" t="e">
        <f>SUM(D42,#REF!)</f>
        <v>#REF!</v>
      </c>
      <c r="E44" s="597" t="e">
        <f>SUM(E42,#REF!)</f>
        <v>#REF!</v>
      </c>
      <c r="F44" s="598" t="e">
        <f>SUM(F42,#REF!)</f>
        <v>#REF!</v>
      </c>
      <c r="G44" s="593"/>
      <c r="H44" s="739"/>
      <c r="I44" s="331"/>
      <c r="J44" s="79">
        <v>206730.35</v>
      </c>
    </row>
    <row r="45" spans="1:16" ht="12.75" thickBot="1" x14ac:dyDescent="0.25">
      <c r="A45" s="738"/>
      <c r="B45" s="599"/>
      <c r="C45" s="739"/>
      <c r="D45" s="739"/>
      <c r="E45" s="739"/>
      <c r="F45" s="739"/>
      <c r="G45" s="593"/>
      <c r="H45" s="600"/>
      <c r="I45" s="331"/>
      <c r="J45" s="79"/>
      <c r="P45" s="734"/>
    </row>
    <row r="46" spans="1:16" ht="12.75" thickBot="1" x14ac:dyDescent="0.25">
      <c r="A46" s="829" t="s">
        <v>13</v>
      </c>
      <c r="B46" s="830"/>
      <c r="C46" s="601" t="s">
        <v>2</v>
      </c>
      <c r="D46" s="601" t="s">
        <v>3</v>
      </c>
      <c r="E46" s="601" t="s">
        <v>27</v>
      </c>
      <c r="F46" s="601" t="s">
        <v>5</v>
      </c>
      <c r="G46" s="602"/>
      <c r="H46" s="603"/>
      <c r="I46" s="343"/>
    </row>
    <row r="47" spans="1:16" ht="12.75" thickBot="1" x14ac:dyDescent="0.25">
      <c r="A47" s="815" t="s">
        <v>14</v>
      </c>
      <c r="B47" s="816"/>
      <c r="C47" s="604">
        <f>'April 2024'!F47</f>
        <v>191.18999999999997</v>
      </c>
      <c r="D47" s="605">
        <v>300</v>
      </c>
      <c r="E47" s="605">
        <v>9.58</v>
      </c>
      <c r="F47" s="606">
        <f>C47+D47-E47</f>
        <v>481.60999999999996</v>
      </c>
      <c r="G47" s="739"/>
      <c r="H47" s="738"/>
      <c r="I47" s="331"/>
      <c r="J47" s="79"/>
    </row>
    <row r="48" spans="1:16" ht="12.75" thickBot="1" x14ac:dyDescent="0.25">
      <c r="A48" s="831" t="s">
        <v>15</v>
      </c>
      <c r="B48" s="832"/>
      <c r="C48" s="604">
        <f>'April 2024'!F48</f>
        <v>16554.329999999994</v>
      </c>
      <c r="D48" s="607">
        <v>26000</v>
      </c>
      <c r="E48" s="607">
        <v>28235.62</v>
      </c>
      <c r="F48" s="606">
        <f>C48+D48-E48</f>
        <v>14318.709999999995</v>
      </c>
      <c r="G48" s="739"/>
      <c r="H48" s="608"/>
      <c r="I48" s="331"/>
    </row>
    <row r="49" spans="1:16" ht="12.75" thickBot="1" x14ac:dyDescent="0.25">
      <c r="A49" s="609"/>
      <c r="B49" s="610" t="s">
        <v>21</v>
      </c>
      <c r="C49" s="604">
        <f>'April 2024'!F49</f>
        <v>0</v>
      </c>
      <c r="D49" s="611"/>
      <c r="E49" s="611"/>
      <c r="F49" s="606">
        <f t="shared" ref="F49:F52" si="4">C49+D49-E49</f>
        <v>0</v>
      </c>
      <c r="G49" s="739"/>
      <c r="H49" s="608"/>
      <c r="I49" s="79"/>
    </row>
    <row r="50" spans="1:16" ht="12.75" thickBot="1" x14ac:dyDescent="0.25">
      <c r="A50" s="609"/>
      <c r="B50" s="610" t="s">
        <v>40</v>
      </c>
      <c r="C50" s="604">
        <f>'April 2024'!F50</f>
        <v>-1459.4099999999958</v>
      </c>
      <c r="D50" s="612">
        <v>957.93</v>
      </c>
      <c r="E50" s="612">
        <v>244.55</v>
      </c>
      <c r="F50" s="606">
        <f>C50+D50-E50</f>
        <v>-746.02999999999588</v>
      </c>
      <c r="G50" s="739"/>
      <c r="H50" s="613"/>
      <c r="I50" s="79"/>
    </row>
    <row r="51" spans="1:16" ht="12.75" thickBot="1" x14ac:dyDescent="0.25">
      <c r="A51" s="692"/>
      <c r="B51" s="693" t="s">
        <v>150</v>
      </c>
      <c r="C51" s="604">
        <f>'April 2024'!F51</f>
        <v>150000</v>
      </c>
      <c r="D51" s="612"/>
      <c r="E51" s="612"/>
      <c r="F51" s="606">
        <f>C51+D51-E51</f>
        <v>150000</v>
      </c>
      <c r="G51" s="739"/>
      <c r="H51" s="613"/>
      <c r="I51" s="79"/>
    </row>
    <row r="52" spans="1:16" ht="12.75" thickBot="1" x14ac:dyDescent="0.25">
      <c r="A52" s="815" t="s">
        <v>16</v>
      </c>
      <c r="B52" s="816"/>
      <c r="C52" s="604">
        <f>'April 2024'!F52</f>
        <v>167533.6400000001</v>
      </c>
      <c r="D52" s="614">
        <v>19521.07</v>
      </c>
      <c r="E52" s="614">
        <v>26000</v>
      </c>
      <c r="F52" s="606">
        <f t="shared" si="4"/>
        <v>161054.71000000011</v>
      </c>
      <c r="G52" s="739"/>
      <c r="H52" s="613"/>
      <c r="I52" s="79"/>
    </row>
    <row r="53" spans="1:16" ht="12.75" thickBot="1" x14ac:dyDescent="0.25">
      <c r="A53" s="615" t="s">
        <v>162</v>
      </c>
      <c r="B53" s="616"/>
      <c r="C53" s="604">
        <f>'April 2024'!F53</f>
        <v>213829.49999999991</v>
      </c>
      <c r="D53" s="576">
        <v>281.52</v>
      </c>
      <c r="E53" s="576">
        <f>1375+88.25</f>
        <v>1463.25</v>
      </c>
      <c r="F53" s="606">
        <f>C53+D53-E53</f>
        <v>212647.7699999999</v>
      </c>
      <c r="G53" s="739"/>
      <c r="H53" s="613"/>
      <c r="I53" s="79"/>
    </row>
    <row r="54" spans="1:16" ht="12.75" thickBot="1" x14ac:dyDescent="0.25">
      <c r="A54" s="811"/>
      <c r="B54" s="812"/>
      <c r="C54" s="617">
        <f>SUM(C47+C48+C52+C53+C50+C49+C51)</f>
        <v>546649.25</v>
      </c>
      <c r="D54" s="618">
        <f>SUM(D47:D53)</f>
        <v>47060.52</v>
      </c>
      <c r="E54" s="618">
        <f>SUM(E47:E53)</f>
        <v>55953</v>
      </c>
      <c r="F54" s="606">
        <f>C54+D54-E54</f>
        <v>537756.77</v>
      </c>
      <c r="G54" s="739"/>
      <c r="H54" s="603"/>
      <c r="I54" s="79"/>
      <c r="J54" s="266"/>
    </row>
    <row r="55" spans="1:16" ht="12" x14ac:dyDescent="0.2">
      <c r="A55" s="736"/>
      <c r="B55" s="737"/>
      <c r="C55" s="739">
        <f>C42-C54</f>
        <v>-4.9999999930150807E-2</v>
      </c>
      <c r="D55" s="739"/>
      <c r="E55" s="739"/>
      <c r="F55" s="739">
        <f>F42-F54</f>
        <v>2.9999999911524355E-2</v>
      </c>
      <c r="G55" s="738"/>
      <c r="H55" s="739"/>
      <c r="I55" s="331"/>
      <c r="J55" s="331"/>
      <c r="K55" s="266"/>
    </row>
    <row r="56" spans="1:16" ht="12" x14ac:dyDescent="0.2">
      <c r="A56" s="738"/>
      <c r="B56" s="599"/>
      <c r="C56" s="739"/>
      <c r="D56" s="739"/>
      <c r="E56" s="739"/>
      <c r="F56" s="739"/>
      <c r="G56" s="739"/>
      <c r="H56" s="739"/>
      <c r="I56" s="331"/>
    </row>
    <row r="57" spans="1:16" ht="12" x14ac:dyDescent="0.2">
      <c r="A57" s="813" t="s">
        <v>17</v>
      </c>
      <c r="B57" s="813"/>
      <c r="C57" s="813"/>
      <c r="D57" s="813"/>
      <c r="E57" s="814" t="s">
        <v>18</v>
      </c>
      <c r="F57" s="814"/>
      <c r="G57" s="739"/>
      <c r="H57" s="739"/>
      <c r="J57" s="331"/>
    </row>
    <row r="58" spans="1:16" ht="12" x14ac:dyDescent="0.2">
      <c r="A58" s="738"/>
      <c r="B58" s="738"/>
      <c r="C58" s="739"/>
      <c r="D58" s="739"/>
      <c r="E58" s="739"/>
      <c r="F58" s="739"/>
      <c r="G58" s="739"/>
      <c r="H58" s="739"/>
    </row>
    <row r="59" spans="1:16" ht="12" x14ac:dyDescent="0.2">
      <c r="A59" s="813" t="s">
        <v>19</v>
      </c>
      <c r="B59" s="813"/>
      <c r="C59" s="813"/>
      <c r="D59" s="813"/>
      <c r="E59" s="814" t="s">
        <v>18</v>
      </c>
      <c r="F59" s="814"/>
      <c r="G59" s="739"/>
      <c r="H59" s="739"/>
    </row>
    <row r="60" spans="1:16" ht="12" x14ac:dyDescent="0.2">
      <c r="A60" s="736"/>
      <c r="B60" s="737"/>
      <c r="C60" s="524"/>
      <c r="D60" s="524"/>
      <c r="E60" s="524"/>
      <c r="F60" s="613"/>
      <c r="G60" s="524"/>
      <c r="H60" s="524"/>
      <c r="I60" s="331"/>
      <c r="J60" s="79"/>
      <c r="P60" s="364"/>
    </row>
    <row r="61" spans="1:16" ht="12" x14ac:dyDescent="0.2">
      <c r="A61" s="738"/>
      <c r="B61" s="599"/>
      <c r="C61" s="603"/>
      <c r="D61" s="603"/>
      <c r="E61" s="603"/>
      <c r="H61" s="738"/>
      <c r="I61" s="331"/>
      <c r="J61" s="343"/>
      <c r="L61" s="266"/>
      <c r="P61" s="364"/>
    </row>
    <row r="62" spans="1:16" x14ac:dyDescent="0.2">
      <c r="B62" s="340"/>
      <c r="C62" s="79"/>
      <c r="D62" s="331"/>
      <c r="J62" s="331"/>
    </row>
  </sheetData>
  <mergeCells count="17">
    <mergeCell ref="A54:B54"/>
    <mergeCell ref="A57:D57"/>
    <mergeCell ref="E57:F57"/>
    <mergeCell ref="A59:D59"/>
    <mergeCell ref="E59:F59"/>
    <mergeCell ref="A52:B52"/>
    <mergeCell ref="A2:G2"/>
    <mergeCell ref="A3:G3"/>
    <mergeCell ref="A5:B5"/>
    <mergeCell ref="A6:B6"/>
    <mergeCell ref="A18:B18"/>
    <mergeCell ref="A24:B24"/>
    <mergeCell ref="A34:B34"/>
    <mergeCell ref="A42:B42"/>
    <mergeCell ref="A46:B46"/>
    <mergeCell ref="A47:B47"/>
    <mergeCell ref="A48:B48"/>
  </mergeCells>
  <pageMargins left="0.7" right="0.7" top="0.75" bottom="0.75" header="0.3" footer="0.3"/>
  <pageSetup scale="72" orientation="portrait" r:id="rId1"/>
  <legacy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DA2AE-9FAD-4F2B-A615-35DDC4D0C645}">
  <sheetPr>
    <pageSetUpPr fitToPage="1"/>
  </sheetPr>
  <dimension ref="A1:R62"/>
  <sheetViews>
    <sheetView topLeftCell="A17" zoomScale="130" zoomScaleNormal="130" workbookViewId="0">
      <selection activeCell="B32" sqref="B32"/>
    </sheetView>
  </sheetViews>
  <sheetFormatPr defaultColWidth="9.140625" defaultRowHeight="11.25" x14ac:dyDescent="0.2"/>
  <cols>
    <col min="1" max="1" width="10.7109375" style="741" customWidth="1"/>
    <col min="2" max="2" width="37.42578125" style="741" customWidth="1"/>
    <col min="3" max="3" width="10" style="741" customWidth="1"/>
    <col min="4" max="4" width="8.85546875" style="741" customWidth="1"/>
    <col min="5" max="6" width="10.28515625" style="741" customWidth="1"/>
    <col min="7" max="7" width="8.85546875" style="741" customWidth="1"/>
    <col min="8" max="8" width="13.85546875" style="741" customWidth="1"/>
    <col min="9" max="9" width="14.7109375" style="741" customWidth="1"/>
    <col min="10" max="10" width="14.5703125" style="741" customWidth="1"/>
    <col min="11" max="11" width="11.28515625" style="741" customWidth="1"/>
    <col min="12" max="15" width="9.140625" style="741"/>
    <col min="16" max="16" width="13" style="741" customWidth="1"/>
    <col min="17" max="16384" width="9.140625" style="741"/>
  </cols>
  <sheetData>
    <row r="1" spans="1:18" hidden="1" x14ac:dyDescent="0.2"/>
    <row r="2" spans="1:18" ht="12" x14ac:dyDescent="0.2">
      <c r="A2" s="817" t="s">
        <v>0</v>
      </c>
      <c r="B2" s="817"/>
      <c r="C2" s="817"/>
      <c r="D2" s="817"/>
      <c r="E2" s="817"/>
      <c r="F2" s="817"/>
      <c r="G2" s="817"/>
      <c r="H2" s="746"/>
    </row>
    <row r="3" spans="1:18" ht="12" x14ac:dyDescent="0.2">
      <c r="A3" s="818" t="s">
        <v>166</v>
      </c>
      <c r="B3" s="818"/>
      <c r="C3" s="818"/>
      <c r="D3" s="818"/>
      <c r="E3" s="818"/>
      <c r="F3" s="818"/>
      <c r="G3" s="818"/>
      <c r="H3" s="526" t="s">
        <v>133</v>
      </c>
      <c r="I3" s="744"/>
    </row>
    <row r="4" spans="1:18" ht="12.75" thickBot="1" x14ac:dyDescent="0.25">
      <c r="A4" s="744"/>
      <c r="B4" s="523" t="s">
        <v>37</v>
      </c>
      <c r="C4" s="744"/>
      <c r="D4" s="744"/>
      <c r="E4" s="744"/>
      <c r="F4" s="524"/>
      <c r="G4" s="744"/>
      <c r="H4" s="530" t="s">
        <v>134</v>
      </c>
    </row>
    <row r="5" spans="1:18" ht="15.75" customHeight="1" x14ac:dyDescent="0.2">
      <c r="A5" s="819" t="s">
        <v>1</v>
      </c>
      <c r="B5" s="820"/>
      <c r="C5" s="525" t="s">
        <v>2</v>
      </c>
      <c r="D5" s="525" t="s">
        <v>3</v>
      </c>
      <c r="E5" s="525" t="s">
        <v>58</v>
      </c>
      <c r="F5" s="525" t="s">
        <v>5</v>
      </c>
      <c r="G5" s="525" t="s">
        <v>6</v>
      </c>
      <c r="H5" s="538" t="s">
        <v>135</v>
      </c>
    </row>
    <row r="6" spans="1:18" ht="12" x14ac:dyDescent="0.2">
      <c r="A6" s="821" t="s">
        <v>132</v>
      </c>
      <c r="B6" s="822"/>
      <c r="C6" s="527">
        <f>SUM(C7:C17)</f>
        <v>384461.16999999993</v>
      </c>
      <c r="D6" s="528">
        <f>SUM(D7:D17)</f>
        <v>13800.75</v>
      </c>
      <c r="E6" s="528">
        <f>SUM(E7:E17)</f>
        <v>14060.039999999999</v>
      </c>
      <c r="F6" s="528">
        <f>SUM(F7:F17)</f>
        <v>384201.87999999995</v>
      </c>
      <c r="G6" s="529">
        <f>SUM(G7:G15)</f>
        <v>0</v>
      </c>
      <c r="I6" s="273"/>
      <c r="J6" s="273"/>
      <c r="K6" s="742"/>
      <c r="P6" s="742"/>
      <c r="R6" s="742"/>
    </row>
    <row r="7" spans="1:18" ht="12" customHeight="1" x14ac:dyDescent="0.2">
      <c r="A7" s="531"/>
      <c r="B7" s="532" t="s">
        <v>23</v>
      </c>
      <c r="C7" s="533">
        <f>'May 2024'!F7</f>
        <v>231999.24</v>
      </c>
      <c r="D7" s="534">
        <f>337.38+2371.6+2000+81.65+1273</f>
        <v>6063.6299999999992</v>
      </c>
      <c r="E7" s="535">
        <f>1375+12.99+2807.35+194.21+744.17+650+433.75+425.14+1618+1451.32-3412.54</f>
        <v>6299.39</v>
      </c>
      <c r="F7" s="536">
        <f>C7+D7-E7</f>
        <v>231763.47999999998</v>
      </c>
      <c r="G7" s="537"/>
      <c r="I7" s="742"/>
    </row>
    <row r="8" spans="1:18" ht="12" x14ac:dyDescent="0.2">
      <c r="A8" s="539"/>
      <c r="B8" s="540" t="s">
        <v>159</v>
      </c>
      <c r="C8" s="533">
        <f>'May 2024'!F8</f>
        <v>-15838.5</v>
      </c>
      <c r="D8" s="541">
        <v>7593.12</v>
      </c>
      <c r="E8" s="541">
        <f>2710.85+22.5</f>
        <v>2733.35</v>
      </c>
      <c r="F8" s="542">
        <f>C8+D8-E8</f>
        <v>-10978.730000000001</v>
      </c>
      <c r="G8" s="537"/>
      <c r="H8" s="543"/>
      <c r="I8" s="287"/>
    </row>
    <row r="9" spans="1:18" ht="12" hidden="1" x14ac:dyDescent="0.2">
      <c r="A9" s="539"/>
      <c r="B9" s="544" t="s">
        <v>67</v>
      </c>
      <c r="C9" s="533">
        <f>'May 2024'!F9</f>
        <v>0</v>
      </c>
      <c r="D9" s="541"/>
      <c r="E9" s="541"/>
      <c r="F9" s="536">
        <f t="shared" ref="F9:F15" si="0">C9+D9-E9</f>
        <v>0</v>
      </c>
      <c r="G9" s="537"/>
      <c r="H9" s="543"/>
      <c r="I9" s="289"/>
      <c r="J9" s="742"/>
    </row>
    <row r="10" spans="1:18" ht="12" hidden="1" x14ac:dyDescent="0.2">
      <c r="A10" s="539"/>
      <c r="B10" s="544" t="s">
        <v>41</v>
      </c>
      <c r="C10" s="533">
        <f>'May 2024'!F10</f>
        <v>-1.0000000002037268E-2</v>
      </c>
      <c r="D10" s="545"/>
      <c r="E10" s="545"/>
      <c r="F10" s="542">
        <f t="shared" si="0"/>
        <v>-1.0000000002037268E-2</v>
      </c>
      <c r="G10" s="537"/>
      <c r="H10" s="543"/>
      <c r="I10" s="291"/>
      <c r="J10" s="742"/>
    </row>
    <row r="11" spans="1:18" ht="12" x14ac:dyDescent="0.2">
      <c r="A11" s="539"/>
      <c r="B11" s="544" t="s">
        <v>117</v>
      </c>
      <c r="C11" s="533">
        <f>'May 2024'!F11</f>
        <v>1136</v>
      </c>
      <c r="D11" s="546"/>
      <c r="E11" s="546"/>
      <c r="F11" s="536">
        <f t="shared" si="0"/>
        <v>1136</v>
      </c>
      <c r="G11" s="537"/>
      <c r="H11" s="543"/>
      <c r="I11" s="293"/>
    </row>
    <row r="12" spans="1:18" ht="12" x14ac:dyDescent="0.2">
      <c r="A12" s="539"/>
      <c r="B12" s="544" t="s">
        <v>20</v>
      </c>
      <c r="C12" s="533">
        <f>'May 2024'!F12</f>
        <v>9559.6200000000008</v>
      </c>
      <c r="D12" s="547">
        <v>134.72999999999999</v>
      </c>
      <c r="E12" s="547">
        <f>4437+85</f>
        <v>4522</v>
      </c>
      <c r="F12" s="548">
        <f>C12+D12-E12</f>
        <v>5172.3500000000004</v>
      </c>
      <c r="G12" s="537"/>
      <c r="H12" s="543"/>
      <c r="I12" s="742"/>
    </row>
    <row r="13" spans="1:18" ht="12" x14ac:dyDescent="0.2">
      <c r="A13" s="539"/>
      <c r="B13" s="544" t="s">
        <v>22</v>
      </c>
      <c r="C13" s="533">
        <f>'May 2024'!F13</f>
        <v>592.8399999999998</v>
      </c>
      <c r="D13" s="547">
        <v>9.27</v>
      </c>
      <c r="E13" s="547"/>
      <c r="F13" s="548">
        <f>C13+D13-E13</f>
        <v>602.10999999999979</v>
      </c>
      <c r="G13" s="537"/>
      <c r="H13" s="543"/>
      <c r="I13" s="742"/>
    </row>
    <row r="14" spans="1:18" ht="12" x14ac:dyDescent="0.2">
      <c r="A14" s="539"/>
      <c r="B14" s="544" t="s">
        <v>28</v>
      </c>
      <c r="C14" s="533">
        <f>'May 2024'!F14</f>
        <v>-306.39000000000107</v>
      </c>
      <c r="D14" s="547"/>
      <c r="E14" s="547">
        <v>229.99</v>
      </c>
      <c r="F14" s="542">
        <f t="shared" si="0"/>
        <v>-536.38000000000102</v>
      </c>
      <c r="G14" s="537"/>
      <c r="H14" s="543"/>
      <c r="I14" s="742"/>
    </row>
    <row r="15" spans="1:18" ht="12" x14ac:dyDescent="0.2">
      <c r="A15" s="539"/>
      <c r="B15" s="549" t="s">
        <v>42</v>
      </c>
      <c r="C15" s="533">
        <f>'May 2024'!F15</f>
        <v>-1056.5999999999999</v>
      </c>
      <c r="D15" s="541"/>
      <c r="E15" s="541">
        <v>260.82</v>
      </c>
      <c r="F15" s="550">
        <f t="shared" si="0"/>
        <v>-1317.4199999999998</v>
      </c>
      <c r="G15" s="537"/>
      <c r="H15" s="543"/>
      <c r="I15" s="742"/>
    </row>
    <row r="16" spans="1:18" ht="12" x14ac:dyDescent="0.2">
      <c r="A16" s="539"/>
      <c r="B16" s="549" t="s">
        <v>43</v>
      </c>
      <c r="C16" s="533">
        <f>'May 2024'!F16</f>
        <v>-115.92000000000063</v>
      </c>
      <c r="D16" s="541"/>
      <c r="E16" s="541">
        <v>14.49</v>
      </c>
      <c r="F16" s="548">
        <f>C16+D16-E16</f>
        <v>-130.41000000000062</v>
      </c>
      <c r="G16" s="537"/>
      <c r="H16" s="543"/>
      <c r="I16" s="273"/>
      <c r="P16" s="742"/>
    </row>
    <row r="17" spans="1:16" ht="12" x14ac:dyDescent="0.2">
      <c r="A17" s="658"/>
      <c r="B17" s="659" t="s">
        <v>141</v>
      </c>
      <c r="C17" s="533">
        <f>'May 2024'!F17</f>
        <v>158490.89000000001</v>
      </c>
      <c r="D17" s="541"/>
      <c r="E17" s="541"/>
      <c r="F17" s="548">
        <f>C17+D17-E17</f>
        <v>158490.89000000001</v>
      </c>
      <c r="G17" s="537"/>
      <c r="H17" s="543"/>
      <c r="I17" s="273"/>
      <c r="P17" s="742"/>
    </row>
    <row r="18" spans="1:16" ht="12" x14ac:dyDescent="0.2">
      <c r="A18" s="823" t="s">
        <v>53</v>
      </c>
      <c r="B18" s="823"/>
      <c r="C18" s="551">
        <f>SUM(C19:C23)</f>
        <v>-12357.140000000003</v>
      </c>
      <c r="D18" s="552">
        <f>SUM(D19:D23)</f>
        <v>0</v>
      </c>
      <c r="E18" s="552">
        <f>SUM(E19:E23)</f>
        <v>2762.99</v>
      </c>
      <c r="F18" s="542">
        <f>SUM(F19:F23)</f>
        <v>-15120.130000000005</v>
      </c>
      <c r="G18" s="553">
        <f>SUM(G21+G23+G19)</f>
        <v>13500</v>
      </c>
      <c r="H18" s="543"/>
      <c r="I18" s="273"/>
      <c r="P18" s="742"/>
    </row>
    <row r="19" spans="1:16" ht="12" x14ac:dyDescent="0.2">
      <c r="A19" s="554"/>
      <c r="B19" s="555" t="s">
        <v>9</v>
      </c>
      <c r="C19" s="556">
        <f>'May 2024'!F19</f>
        <v>-86.690000000001959</v>
      </c>
      <c r="D19" s="557"/>
      <c r="E19" s="558"/>
      <c r="F19" s="559">
        <f>C19+D19-E19</f>
        <v>-86.690000000001959</v>
      </c>
      <c r="G19" s="541"/>
      <c r="H19" s="560" t="s">
        <v>165</v>
      </c>
      <c r="I19" s="742"/>
      <c r="J19" s="79"/>
    </row>
    <row r="20" spans="1:16" ht="12" x14ac:dyDescent="0.2">
      <c r="A20" s="539"/>
      <c r="B20" s="561" t="s">
        <v>8</v>
      </c>
      <c r="C20" s="556">
        <f>'May 2024'!F20</f>
        <v>756.61000000000058</v>
      </c>
      <c r="D20" s="547"/>
      <c r="E20" s="545">
        <f>1417.14+385.59</f>
        <v>1802.73</v>
      </c>
      <c r="F20" s="559">
        <f>C20+D20-E20</f>
        <v>-1046.1199999999994</v>
      </c>
      <c r="G20" s="562"/>
      <c r="H20" s="560"/>
      <c r="I20" s="742"/>
    </row>
    <row r="21" spans="1:16" ht="12" x14ac:dyDescent="0.2">
      <c r="A21" s="539"/>
      <c r="B21" s="563" t="s">
        <v>32</v>
      </c>
      <c r="C21" s="556">
        <f>'May 2024'!F21</f>
        <v>-8411.1900000000023</v>
      </c>
      <c r="D21" s="547"/>
      <c r="E21" s="545">
        <v>142.26</v>
      </c>
      <c r="F21" s="559">
        <f t="shared" ref="F21:F23" si="1">C21+D21-E21</f>
        <v>-8553.4500000000025</v>
      </c>
      <c r="G21" s="564">
        <v>5000</v>
      </c>
      <c r="H21" s="560"/>
      <c r="I21" s="742"/>
    </row>
    <row r="22" spans="1:16" ht="12" hidden="1" x14ac:dyDescent="0.2">
      <c r="A22" s="539"/>
      <c r="B22" s="561"/>
      <c r="C22" s="556">
        <f>'May 2024'!F22</f>
        <v>0</v>
      </c>
      <c r="D22" s="547"/>
      <c r="E22" s="547"/>
      <c r="F22" s="559"/>
      <c r="G22" s="564"/>
      <c r="H22" s="560"/>
      <c r="I22" s="742"/>
    </row>
    <row r="23" spans="1:16" ht="12" x14ac:dyDescent="0.2">
      <c r="A23" s="565"/>
      <c r="B23" s="566" t="s">
        <v>38</v>
      </c>
      <c r="C23" s="556">
        <f>'May 2024'!F23</f>
        <v>-4615.87</v>
      </c>
      <c r="D23" s="567"/>
      <c r="E23" s="558">
        <v>818</v>
      </c>
      <c r="F23" s="559">
        <f t="shared" si="1"/>
        <v>-5433.87</v>
      </c>
      <c r="G23" s="541">
        <v>8500</v>
      </c>
      <c r="H23" s="560"/>
      <c r="I23" s="742"/>
      <c r="J23" s="79"/>
    </row>
    <row r="24" spans="1:16" ht="12" x14ac:dyDescent="0.2">
      <c r="A24" s="824" t="s">
        <v>10</v>
      </c>
      <c r="B24" s="825"/>
      <c r="C24" s="551">
        <f>SUM(C25:C33)</f>
        <v>72022.320000000007</v>
      </c>
      <c r="D24" s="568">
        <f>SUM(D25:D33)</f>
        <v>40000</v>
      </c>
      <c r="E24" s="569">
        <f>SUM(E25:E33)</f>
        <v>16220.54</v>
      </c>
      <c r="F24" s="569">
        <f>SUM(F25:F33)-0.08</f>
        <v>95801.720000000016</v>
      </c>
      <c r="G24" s="570"/>
      <c r="H24" s="543"/>
      <c r="I24" s="273"/>
      <c r="P24" s="742"/>
    </row>
    <row r="25" spans="1:16" ht="12" hidden="1" x14ac:dyDescent="0.2">
      <c r="A25" s="554"/>
      <c r="B25" s="571" t="s">
        <v>55</v>
      </c>
      <c r="C25" s="556">
        <f>'February 2021'!G24</f>
        <v>0</v>
      </c>
      <c r="D25" s="572"/>
      <c r="E25" s="557"/>
      <c r="F25" s="573">
        <f>C25+D25-E25</f>
        <v>0</v>
      </c>
      <c r="G25" s="534"/>
      <c r="H25" s="543"/>
      <c r="I25" s="742"/>
      <c r="J25" s="319"/>
    </row>
    <row r="26" spans="1:16" ht="12" hidden="1" x14ac:dyDescent="0.2">
      <c r="A26" s="565"/>
      <c r="B26" s="549" t="s">
        <v>70</v>
      </c>
      <c r="C26" s="556">
        <f>'January 2022'!F25</f>
        <v>7.9999999998108251E-2</v>
      </c>
      <c r="D26" s="567"/>
      <c r="E26" s="567"/>
      <c r="F26" s="573">
        <f>C26+D26-E26</f>
        <v>7.9999999998108251E-2</v>
      </c>
      <c r="G26" s="541"/>
      <c r="H26" s="543"/>
      <c r="I26" s="742"/>
      <c r="J26" s="319"/>
    </row>
    <row r="27" spans="1:16" ht="12" hidden="1" x14ac:dyDescent="0.2">
      <c r="A27" s="531"/>
      <c r="B27" s="574" t="s">
        <v>105</v>
      </c>
      <c r="C27" s="556">
        <f>'April 2023'!F26</f>
        <v>-1.9999999992592166E-2</v>
      </c>
      <c r="D27" s="558"/>
      <c r="E27" s="575"/>
      <c r="F27" s="573">
        <f>C27+D27-E27+0.02</f>
        <v>7.4078347622741347E-12</v>
      </c>
      <c r="G27" s="541"/>
      <c r="H27" s="543"/>
      <c r="I27" s="742"/>
      <c r="J27" s="742"/>
    </row>
    <row r="28" spans="1:16" ht="12" hidden="1" x14ac:dyDescent="0.2">
      <c r="A28" s="531"/>
      <c r="B28" s="574" t="s">
        <v>39</v>
      </c>
      <c r="C28" s="556">
        <f>'April 2023'!F27</f>
        <v>8.1854523159563541E-12</v>
      </c>
      <c r="D28" s="567"/>
      <c r="E28" s="558"/>
      <c r="F28" s="573">
        <f t="shared" ref="F28:F32" si="2">C28+D28-E28</f>
        <v>8.1854523159563541E-12</v>
      </c>
      <c r="G28" s="541"/>
      <c r="H28" s="543"/>
      <c r="I28" s="742"/>
      <c r="J28" s="742"/>
    </row>
    <row r="29" spans="1:16" ht="12" x14ac:dyDescent="0.2">
      <c r="A29" s="531"/>
      <c r="B29" s="574" t="s">
        <v>152</v>
      </c>
      <c r="C29" s="556">
        <f>'May 2024'!F29</f>
        <v>56558.89</v>
      </c>
      <c r="D29" s="567"/>
      <c r="E29" s="567">
        <v>3343.11</v>
      </c>
      <c r="F29" s="573">
        <f t="shared" si="2"/>
        <v>53215.78</v>
      </c>
      <c r="G29" s="541"/>
      <c r="H29" s="543"/>
      <c r="I29" s="742"/>
      <c r="J29" s="742"/>
    </row>
    <row r="30" spans="1:16" ht="12" x14ac:dyDescent="0.2">
      <c r="A30" s="531"/>
      <c r="B30" s="574" t="s">
        <v>167</v>
      </c>
      <c r="C30" s="556">
        <f>'May 2024'!F30</f>
        <v>-1.9326762412674725E-12</v>
      </c>
      <c r="D30" s="567">
        <v>40000</v>
      </c>
      <c r="E30" s="567"/>
      <c r="F30" s="573">
        <f t="shared" si="2"/>
        <v>40000</v>
      </c>
      <c r="G30" s="541"/>
      <c r="H30" s="543"/>
      <c r="I30" s="742"/>
      <c r="J30" s="742"/>
    </row>
    <row r="31" spans="1:16" ht="12" hidden="1" x14ac:dyDescent="0.2">
      <c r="A31" s="531"/>
      <c r="B31" s="574" t="s">
        <v>101</v>
      </c>
      <c r="C31" s="556">
        <f>'May 2024'!F31</f>
        <v>1.9554136088117957E-11</v>
      </c>
      <c r="D31" s="567"/>
      <c r="E31" s="567"/>
      <c r="F31" s="573">
        <f t="shared" si="2"/>
        <v>1.9554136088117957E-11</v>
      </c>
      <c r="G31" s="541"/>
      <c r="H31" s="543"/>
      <c r="I31" s="742"/>
      <c r="J31" s="742"/>
    </row>
    <row r="32" spans="1:16" ht="12" x14ac:dyDescent="0.2">
      <c r="A32" s="531"/>
      <c r="B32" s="574" t="s">
        <v>119</v>
      </c>
      <c r="C32" s="556">
        <f>'May 2024'!F32</f>
        <v>31763.339999999982</v>
      </c>
      <c r="D32" s="567"/>
      <c r="E32" s="567">
        <v>11739.39</v>
      </c>
      <c r="F32" s="573">
        <f t="shared" si="2"/>
        <v>20023.949999999983</v>
      </c>
      <c r="G32" s="541"/>
      <c r="H32" s="543"/>
      <c r="I32" s="742"/>
      <c r="J32" s="742"/>
    </row>
    <row r="33" spans="1:16" ht="12" x14ac:dyDescent="0.2">
      <c r="A33" s="531"/>
      <c r="B33" s="549" t="s">
        <v>44</v>
      </c>
      <c r="C33" s="556">
        <f>'May 2024'!F33</f>
        <v>-16299.969999999998</v>
      </c>
      <c r="D33" s="567"/>
      <c r="E33" s="558">
        <v>1138.04</v>
      </c>
      <c r="F33" s="573">
        <f>C33+D33-E33</f>
        <v>-17438.009999999998</v>
      </c>
      <c r="G33" s="541"/>
      <c r="H33" s="543"/>
      <c r="I33" s="742"/>
      <c r="J33" s="742"/>
    </row>
    <row r="34" spans="1:16" ht="12" x14ac:dyDescent="0.2">
      <c r="A34" s="826" t="s">
        <v>35</v>
      </c>
      <c r="B34" s="827"/>
      <c r="C34" s="551">
        <f>SUM(C35:C41)</f>
        <v>93630.510000000009</v>
      </c>
      <c r="D34" s="568">
        <f>SUM(D35:D41)</f>
        <v>3311.54</v>
      </c>
      <c r="E34" s="569">
        <f>SUM(E35:E41)</f>
        <v>1823.9</v>
      </c>
      <c r="F34" s="569">
        <f>SUM(F35:F41)</f>
        <v>95118.15</v>
      </c>
      <c r="G34" s="570">
        <f>SUM(G35:G38)</f>
        <v>0</v>
      </c>
      <c r="H34" s="543"/>
      <c r="I34" s="273"/>
      <c r="P34" s="742"/>
    </row>
    <row r="35" spans="1:16" ht="15" x14ac:dyDescent="0.25">
      <c r="A35" s="565"/>
      <c r="B35" s="549" t="s">
        <v>153</v>
      </c>
      <c r="C35" s="708">
        <f>'May 2024'!F35</f>
        <v>40974.540000000008</v>
      </c>
      <c r="D35" s="709"/>
      <c r="E35" s="717">
        <v>569.04</v>
      </c>
      <c r="F35" s="711">
        <f>C35+D35-E35</f>
        <v>40405.500000000007</v>
      </c>
      <c r="G35" s="709"/>
      <c r="H35" s="710"/>
      <c r="I35" s="742"/>
      <c r="J35" s="319"/>
    </row>
    <row r="36" spans="1:16" ht="12" x14ac:dyDescent="0.2">
      <c r="A36" s="565"/>
      <c r="B36" s="549" t="s">
        <v>90</v>
      </c>
      <c r="C36" s="708">
        <f>'May 2024'!F36</f>
        <v>0</v>
      </c>
      <c r="D36" s="576"/>
      <c r="E36" s="577"/>
      <c r="F36" s="578">
        <f t="shared" ref="F36:F37" si="3">C36+D36-E36</f>
        <v>0</v>
      </c>
      <c r="G36" s="541"/>
      <c r="H36" s="543" t="s">
        <v>165</v>
      </c>
      <c r="I36" s="742"/>
      <c r="J36" s="319"/>
    </row>
    <row r="37" spans="1:16" ht="12" x14ac:dyDescent="0.2">
      <c r="A37" s="565"/>
      <c r="B37" s="549" t="s">
        <v>138</v>
      </c>
      <c r="C37" s="708">
        <f>'May 2024'!F37</f>
        <v>6049</v>
      </c>
      <c r="D37" s="576"/>
      <c r="E37" s="577"/>
      <c r="F37" s="578">
        <f t="shared" si="3"/>
        <v>6049</v>
      </c>
      <c r="G37" s="541"/>
      <c r="H37" s="543"/>
      <c r="I37" s="742"/>
      <c r="J37" s="319"/>
    </row>
    <row r="38" spans="1:16" ht="12" x14ac:dyDescent="0.2">
      <c r="A38" s="565"/>
      <c r="B38" s="579" t="s">
        <v>164</v>
      </c>
      <c r="C38" s="708">
        <f>'May 2024'!F38</f>
        <v>25207.879999999994</v>
      </c>
      <c r="D38" s="576"/>
      <c r="E38" s="558">
        <v>1148.1600000000001</v>
      </c>
      <c r="F38" s="578">
        <f>C38+D38-E38</f>
        <v>24059.719999999994</v>
      </c>
      <c r="G38" s="541"/>
      <c r="H38" s="543"/>
      <c r="I38" s="293"/>
      <c r="J38" s="266"/>
      <c r="P38" s="326"/>
    </row>
    <row r="39" spans="1:16" ht="12" x14ac:dyDescent="0.2">
      <c r="A39" s="744"/>
      <c r="B39" s="744" t="s">
        <v>99</v>
      </c>
      <c r="C39" s="708">
        <f>'May 2024'!F39</f>
        <v>15550</v>
      </c>
      <c r="D39" s="580"/>
      <c r="E39" s="744"/>
      <c r="F39" s="578">
        <f>C39+D39-E39</f>
        <v>15550</v>
      </c>
      <c r="G39" s="744"/>
      <c r="H39" s="744"/>
    </row>
    <row r="40" spans="1:16" ht="12" x14ac:dyDescent="0.2">
      <c r="A40" s="744"/>
      <c r="B40" s="744" t="s">
        <v>131</v>
      </c>
      <c r="C40" s="708">
        <f>'May 2024'!F40</f>
        <v>9973.35</v>
      </c>
      <c r="D40" s="582"/>
      <c r="E40" s="744">
        <v>106.7</v>
      </c>
      <c r="F40" s="578">
        <f>C40+D40-E40</f>
        <v>9866.65</v>
      </c>
      <c r="G40" s="744"/>
      <c r="H40" s="744"/>
    </row>
    <row r="41" spans="1:16" ht="12.75" thickBot="1" x14ac:dyDescent="0.25">
      <c r="A41" s="744"/>
      <c r="B41" s="583" t="s">
        <v>111</v>
      </c>
      <c r="C41" s="708">
        <f>'May 2024'!F41</f>
        <v>-4124.26</v>
      </c>
      <c r="D41" s="584">
        <v>3311.54</v>
      </c>
      <c r="E41" s="740"/>
      <c r="F41" s="578">
        <f>C41+D41-E41</f>
        <v>-812.72000000000025</v>
      </c>
      <c r="G41" s="744"/>
      <c r="H41" s="744"/>
    </row>
    <row r="42" spans="1:16" ht="12.75" thickBot="1" x14ac:dyDescent="0.25">
      <c r="A42" s="828" t="s">
        <v>11</v>
      </c>
      <c r="B42" s="812"/>
      <c r="C42" s="585">
        <f>C34+C24+C18+C6</f>
        <v>537756.85999999987</v>
      </c>
      <c r="D42" s="627">
        <f>SUM(D24,D18,D6,D34)</f>
        <v>57112.29</v>
      </c>
      <c r="E42" s="587">
        <f>SUM(E24,E18,E6,E34)</f>
        <v>34867.47</v>
      </c>
      <c r="F42" s="588">
        <f>SUM(F24,F18,F6,F34)</f>
        <v>560001.62</v>
      </c>
      <c r="G42" s="589">
        <f>SUM(G6,G18,G24,G34)</f>
        <v>13500</v>
      </c>
      <c r="H42" s="745"/>
      <c r="I42" s="742"/>
      <c r="J42" s="331"/>
    </row>
    <row r="43" spans="1:16" ht="12" hidden="1" x14ac:dyDescent="0.2">
      <c r="A43" s="747"/>
      <c r="B43" s="743"/>
      <c r="C43" s="745">
        <f>SUM(C18:C23)</f>
        <v>-24714.280000000006</v>
      </c>
      <c r="D43" s="745"/>
      <c r="E43" s="745"/>
      <c r="F43" s="745"/>
      <c r="G43" s="593"/>
      <c r="H43" s="745"/>
      <c r="K43" s="741" t="s">
        <v>12</v>
      </c>
      <c r="L43" s="741">
        <v>42.43</v>
      </c>
    </row>
    <row r="44" spans="1:16" ht="12.75" hidden="1" thickBot="1" x14ac:dyDescent="0.25">
      <c r="A44" s="594" t="s">
        <v>25</v>
      </c>
      <c r="B44" s="595"/>
      <c r="C44" s="596" t="e">
        <f>SUM(C42,#REF!)</f>
        <v>#REF!</v>
      </c>
      <c r="D44" s="597" t="e">
        <f>SUM(D42,#REF!)</f>
        <v>#REF!</v>
      </c>
      <c r="E44" s="597" t="e">
        <f>SUM(E42,#REF!)</f>
        <v>#REF!</v>
      </c>
      <c r="F44" s="598" t="e">
        <f>SUM(F42,#REF!)</f>
        <v>#REF!</v>
      </c>
      <c r="G44" s="593"/>
      <c r="H44" s="745"/>
      <c r="I44" s="331"/>
      <c r="J44" s="79">
        <v>206730.35</v>
      </c>
    </row>
    <row r="45" spans="1:16" ht="12.75" thickBot="1" x14ac:dyDescent="0.25">
      <c r="A45" s="744"/>
      <c r="B45" s="599"/>
      <c r="C45" s="745"/>
      <c r="D45" s="745"/>
      <c r="E45" s="745"/>
      <c r="F45" s="745"/>
      <c r="G45" s="593"/>
      <c r="H45" s="600"/>
      <c r="I45" s="331"/>
      <c r="J45" s="79"/>
      <c r="P45" s="742"/>
    </row>
    <row r="46" spans="1:16" ht="12.75" thickBot="1" x14ac:dyDescent="0.25">
      <c r="A46" s="829" t="s">
        <v>13</v>
      </c>
      <c r="B46" s="830"/>
      <c r="C46" s="601" t="s">
        <v>2</v>
      </c>
      <c r="D46" s="601" t="s">
        <v>3</v>
      </c>
      <c r="E46" s="601" t="s">
        <v>27</v>
      </c>
      <c r="F46" s="601" t="s">
        <v>5</v>
      </c>
      <c r="G46" s="602"/>
      <c r="H46" s="603"/>
      <c r="I46" s="343"/>
    </row>
    <row r="47" spans="1:16" ht="12.75" thickBot="1" x14ac:dyDescent="0.25">
      <c r="A47" s="815" t="s">
        <v>14</v>
      </c>
      <c r="B47" s="816"/>
      <c r="C47" s="604">
        <f>'May 2024'!F47</f>
        <v>481.60999999999996</v>
      </c>
      <c r="D47" s="605"/>
      <c r="E47" s="605">
        <v>10.55</v>
      </c>
      <c r="F47" s="606">
        <f>C47+D47-E47</f>
        <v>471.05999999999995</v>
      </c>
      <c r="G47" s="745"/>
      <c r="H47" s="744"/>
      <c r="I47" s="331"/>
      <c r="J47" s="79"/>
    </row>
    <row r="48" spans="1:16" ht="12.75" thickBot="1" x14ac:dyDescent="0.25">
      <c r="A48" s="831" t="s">
        <v>15</v>
      </c>
      <c r="B48" s="832"/>
      <c r="C48" s="604">
        <f>'May 2024'!F48</f>
        <v>14318.709999999995</v>
      </c>
      <c r="D48" s="607">
        <v>24000</v>
      </c>
      <c r="E48" s="607">
        <v>23799.79</v>
      </c>
      <c r="F48" s="606">
        <f>C48+D48-E48</f>
        <v>14518.919999999991</v>
      </c>
      <c r="G48" s="745"/>
      <c r="H48" s="608"/>
      <c r="I48" s="331"/>
    </row>
    <row r="49" spans="1:16" ht="12.75" thickBot="1" x14ac:dyDescent="0.25">
      <c r="A49" s="609"/>
      <c r="B49" s="610" t="s">
        <v>21</v>
      </c>
      <c r="C49" s="604">
        <f>'May 2024'!F49</f>
        <v>0</v>
      </c>
      <c r="D49" s="611"/>
      <c r="E49" s="611"/>
      <c r="F49" s="606">
        <f t="shared" ref="F49:F52" si="4">C49+D49-E49</f>
        <v>0</v>
      </c>
      <c r="G49" s="745"/>
      <c r="H49" s="608"/>
      <c r="I49" s="79"/>
    </row>
    <row r="50" spans="1:16" ht="12.75" thickBot="1" x14ac:dyDescent="0.25">
      <c r="A50" s="609"/>
      <c r="B50" s="610" t="s">
        <v>40</v>
      </c>
      <c r="C50" s="604">
        <f>'May 2024'!F50</f>
        <v>-746.02999999999588</v>
      </c>
      <c r="D50" s="612">
        <v>244.55</v>
      </c>
      <c r="E50" s="612">
        <v>1726.03</v>
      </c>
      <c r="F50" s="606">
        <f>C50+D50-E50</f>
        <v>-2227.5099999999957</v>
      </c>
      <c r="G50" s="745"/>
      <c r="H50" s="613"/>
      <c r="I50" s="79"/>
    </row>
    <row r="51" spans="1:16" ht="12.75" thickBot="1" x14ac:dyDescent="0.25">
      <c r="A51" s="692"/>
      <c r="B51" s="693" t="s">
        <v>150</v>
      </c>
      <c r="C51" s="604">
        <f>'May 2024'!F51</f>
        <v>150000</v>
      </c>
      <c r="D51" s="612"/>
      <c r="E51" s="612"/>
      <c r="F51" s="606">
        <f>C51+D51-E51</f>
        <v>150000</v>
      </c>
      <c r="G51" s="745"/>
      <c r="H51" s="613"/>
      <c r="I51" s="79"/>
    </row>
    <row r="52" spans="1:16" ht="12.75" thickBot="1" x14ac:dyDescent="0.25">
      <c r="A52" s="815" t="s">
        <v>16</v>
      </c>
      <c r="B52" s="816"/>
      <c r="C52" s="604">
        <f>'May 2024'!F52</f>
        <v>161054.71000000011</v>
      </c>
      <c r="D52" s="614">
        <v>49336.06</v>
      </c>
      <c r="E52" s="614">
        <v>24000</v>
      </c>
      <c r="F52" s="606">
        <f t="shared" si="4"/>
        <v>186390.77000000011</v>
      </c>
      <c r="G52" s="745"/>
      <c r="H52" s="613"/>
      <c r="I52" s="79"/>
    </row>
    <row r="53" spans="1:16" ht="12.75" thickBot="1" x14ac:dyDescent="0.25">
      <c r="A53" s="615" t="s">
        <v>162</v>
      </c>
      <c r="B53" s="616"/>
      <c r="C53" s="604">
        <f>'May 2024'!F53</f>
        <v>212647.7699999999</v>
      </c>
      <c r="D53" s="576">
        <v>269.11</v>
      </c>
      <c r="E53" s="576">
        <f>1375+650+43.5</f>
        <v>2068.5</v>
      </c>
      <c r="F53" s="606">
        <f>C53+D53-E53</f>
        <v>210848.37999999989</v>
      </c>
      <c r="G53" s="745"/>
      <c r="H53" s="613"/>
      <c r="I53" s="79"/>
    </row>
    <row r="54" spans="1:16" ht="12.75" thickBot="1" x14ac:dyDescent="0.25">
      <c r="A54" s="811"/>
      <c r="B54" s="812"/>
      <c r="C54" s="617">
        <f>SUM(C47+C48+C52+C53+C50+C49+C51)</f>
        <v>537756.77</v>
      </c>
      <c r="D54" s="618">
        <f>SUM(D47:D53)</f>
        <v>73849.72</v>
      </c>
      <c r="E54" s="618">
        <f>SUM(E47:E53)</f>
        <v>51604.869999999995</v>
      </c>
      <c r="F54" s="606">
        <f>C54+D54-E54</f>
        <v>560001.62</v>
      </c>
      <c r="G54" s="745"/>
      <c r="H54" s="603"/>
      <c r="I54" s="79"/>
      <c r="J54" s="266"/>
    </row>
    <row r="55" spans="1:16" ht="12" x14ac:dyDescent="0.2">
      <c r="A55" s="747"/>
      <c r="B55" s="743"/>
      <c r="C55" s="745">
        <f>C42-C54</f>
        <v>8.9999999850988388E-2</v>
      </c>
      <c r="D55" s="745"/>
      <c r="E55" s="745"/>
      <c r="F55" s="745">
        <f>F42-F54</f>
        <v>0</v>
      </c>
      <c r="G55" s="744"/>
      <c r="H55" s="745"/>
      <c r="I55" s="331"/>
      <c r="J55" s="331"/>
      <c r="K55" s="266"/>
    </row>
    <row r="56" spans="1:16" ht="12" x14ac:dyDescent="0.2">
      <c r="A56" s="744"/>
      <c r="B56" s="599"/>
      <c r="C56" s="745"/>
      <c r="D56" s="745"/>
      <c r="E56" s="745"/>
      <c r="F56" s="745"/>
      <c r="G56" s="745"/>
      <c r="H56" s="745"/>
      <c r="I56" s="331"/>
    </row>
    <row r="57" spans="1:16" ht="12" x14ac:dyDescent="0.2">
      <c r="A57" s="813" t="s">
        <v>17</v>
      </c>
      <c r="B57" s="813"/>
      <c r="C57" s="813"/>
      <c r="D57" s="813"/>
      <c r="E57" s="814" t="s">
        <v>18</v>
      </c>
      <c r="F57" s="814"/>
      <c r="G57" s="745"/>
      <c r="H57" s="745"/>
      <c r="J57" s="331"/>
    </row>
    <row r="58" spans="1:16" ht="12" x14ac:dyDescent="0.2">
      <c r="A58" s="744"/>
      <c r="B58" s="744"/>
      <c r="C58" s="745"/>
      <c r="D58" s="745"/>
      <c r="E58" s="745"/>
      <c r="F58" s="745"/>
      <c r="G58" s="745"/>
      <c r="H58" s="745"/>
    </row>
    <row r="59" spans="1:16" ht="12" x14ac:dyDescent="0.2">
      <c r="A59" s="813" t="s">
        <v>19</v>
      </c>
      <c r="B59" s="813"/>
      <c r="C59" s="813"/>
      <c r="D59" s="813"/>
      <c r="E59" s="814" t="s">
        <v>18</v>
      </c>
      <c r="F59" s="814"/>
      <c r="G59" s="745"/>
      <c r="H59" s="745"/>
    </row>
    <row r="60" spans="1:16" ht="12" x14ac:dyDescent="0.2">
      <c r="A60" s="747"/>
      <c r="B60" s="743"/>
      <c r="C60" s="524"/>
      <c r="D60" s="524"/>
      <c r="E60" s="524"/>
      <c r="F60" s="613"/>
      <c r="G60" s="524"/>
      <c r="H60" s="524"/>
      <c r="I60" s="331"/>
      <c r="J60" s="79"/>
      <c r="P60" s="364"/>
    </row>
    <row r="61" spans="1:16" ht="12" x14ac:dyDescent="0.2">
      <c r="A61" s="744"/>
      <c r="B61" s="599"/>
      <c r="C61" s="603"/>
      <c r="D61" s="603"/>
      <c r="E61" s="603"/>
      <c r="H61" s="744"/>
      <c r="I61" s="331"/>
      <c r="J61" s="343"/>
      <c r="L61" s="266"/>
      <c r="P61" s="364"/>
    </row>
    <row r="62" spans="1:16" x14ac:dyDescent="0.2">
      <c r="B62" s="340"/>
      <c r="C62" s="79"/>
      <c r="D62" s="331"/>
      <c r="J62" s="331"/>
    </row>
  </sheetData>
  <mergeCells count="17">
    <mergeCell ref="A52:B52"/>
    <mergeCell ref="A2:G2"/>
    <mergeCell ref="A3:G3"/>
    <mergeCell ref="A5:B5"/>
    <mergeCell ref="A6:B6"/>
    <mergeCell ref="A18:B18"/>
    <mergeCell ref="A24:B24"/>
    <mergeCell ref="A34:B34"/>
    <mergeCell ref="A42:B42"/>
    <mergeCell ref="A46:B46"/>
    <mergeCell ref="A47:B47"/>
    <mergeCell ref="A48:B48"/>
    <mergeCell ref="A54:B54"/>
    <mergeCell ref="A57:D57"/>
    <mergeCell ref="E57:F57"/>
    <mergeCell ref="A59:D59"/>
    <mergeCell ref="E59:F59"/>
  </mergeCells>
  <pageMargins left="0.7" right="0.7" top="0.75" bottom="0.75" header="0.3" footer="0.3"/>
  <pageSetup scale="82" orientation="portrait" r:id="rId1"/>
  <legacy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3C0BF-70A5-46F0-9B21-DE00D9C969A4}">
  <sheetPr>
    <pageSetUpPr fitToPage="1"/>
  </sheetPr>
  <dimension ref="A1:R63"/>
  <sheetViews>
    <sheetView topLeftCell="A5" zoomScale="130" zoomScaleNormal="130" workbookViewId="0">
      <selection activeCell="E8" sqref="E8"/>
    </sheetView>
  </sheetViews>
  <sheetFormatPr defaultColWidth="9.140625" defaultRowHeight="11.25" x14ac:dyDescent="0.2"/>
  <cols>
    <col min="1" max="1" width="10.7109375" style="748" customWidth="1"/>
    <col min="2" max="2" width="37.42578125" style="748" customWidth="1"/>
    <col min="3" max="3" width="10" style="748" customWidth="1"/>
    <col min="4" max="4" width="8.85546875" style="748" customWidth="1"/>
    <col min="5" max="6" width="10.28515625" style="748" customWidth="1"/>
    <col min="7" max="7" width="8.85546875" style="748" customWidth="1"/>
    <col min="8" max="8" width="13.85546875" style="748" customWidth="1"/>
    <col min="9" max="9" width="14.7109375" style="748" customWidth="1"/>
    <col min="10" max="10" width="14.5703125" style="748" customWidth="1"/>
    <col min="11" max="11" width="11.28515625" style="748" customWidth="1"/>
    <col min="12" max="15" width="9.140625" style="748"/>
    <col min="16" max="16" width="13" style="748" customWidth="1"/>
    <col min="17" max="16384" width="9.140625" style="748"/>
  </cols>
  <sheetData>
    <row r="1" spans="1:18" hidden="1" x14ac:dyDescent="0.2"/>
    <row r="2" spans="1:18" ht="12" x14ac:dyDescent="0.2">
      <c r="A2" s="817" t="s">
        <v>0</v>
      </c>
      <c r="B2" s="817"/>
      <c r="C2" s="817"/>
      <c r="D2" s="817"/>
      <c r="E2" s="817"/>
      <c r="F2" s="817"/>
      <c r="G2" s="817"/>
      <c r="H2" s="753"/>
    </row>
    <row r="3" spans="1:18" ht="12" x14ac:dyDescent="0.2">
      <c r="A3" s="818" t="s">
        <v>171</v>
      </c>
      <c r="B3" s="818"/>
      <c r="C3" s="818"/>
      <c r="D3" s="818"/>
      <c r="E3" s="818"/>
      <c r="F3" s="818"/>
      <c r="G3" s="818"/>
      <c r="H3" s="526" t="s">
        <v>133</v>
      </c>
      <c r="I3" s="751"/>
    </row>
    <row r="4" spans="1:18" ht="12.75" thickBot="1" x14ac:dyDescent="0.25">
      <c r="A4" s="751"/>
      <c r="B4" s="523" t="s">
        <v>37</v>
      </c>
      <c r="C4" s="751"/>
      <c r="D4" s="751"/>
      <c r="E4" s="751"/>
      <c r="F4" s="524"/>
      <c r="G4" s="751"/>
      <c r="H4" s="530" t="s">
        <v>134</v>
      </c>
    </row>
    <row r="5" spans="1:18" ht="15.75" customHeight="1" x14ac:dyDescent="0.2">
      <c r="A5" s="819" t="s">
        <v>1</v>
      </c>
      <c r="B5" s="820"/>
      <c r="C5" s="525" t="s">
        <v>2</v>
      </c>
      <c r="D5" s="525" t="s">
        <v>3</v>
      </c>
      <c r="E5" s="525" t="s">
        <v>58</v>
      </c>
      <c r="F5" s="525" t="s">
        <v>5</v>
      </c>
      <c r="G5" s="525" t="s">
        <v>6</v>
      </c>
      <c r="H5" s="538" t="s">
        <v>135</v>
      </c>
    </row>
    <row r="6" spans="1:18" ht="12" x14ac:dyDescent="0.2">
      <c r="A6" s="821" t="s">
        <v>132</v>
      </c>
      <c r="B6" s="822"/>
      <c r="C6" s="527">
        <f>SUM(C7:C18)</f>
        <v>384201.87999999995</v>
      </c>
      <c r="D6" s="528">
        <f>SUM(D7:D18)</f>
        <v>83926.62</v>
      </c>
      <c r="E6" s="528">
        <f>SUM(E7:E18)</f>
        <v>7199.9300000000012</v>
      </c>
      <c r="F6" s="528">
        <f>SUM(F7:F18)</f>
        <v>460928.57</v>
      </c>
      <c r="G6" s="529">
        <f>SUM(G7:G15)</f>
        <v>0</v>
      </c>
      <c r="I6" s="273"/>
      <c r="J6" s="273"/>
      <c r="K6" s="749"/>
      <c r="P6" s="749"/>
      <c r="R6" s="749"/>
    </row>
    <row r="7" spans="1:18" ht="12" customHeight="1" x14ac:dyDescent="0.2">
      <c r="A7" s="531"/>
      <c r="B7" s="532" t="s">
        <v>23</v>
      </c>
      <c r="C7" s="533">
        <f>'June 2024'!F7</f>
        <v>231763.47999999998</v>
      </c>
      <c r="D7" s="534">
        <v>4345.17</v>
      </c>
      <c r="E7" s="535">
        <f>1375+3631.28+154.72+3547.16+1880.38-9906.77</f>
        <v>681.77000000000044</v>
      </c>
      <c r="F7" s="536">
        <f>C7+D7-E7</f>
        <v>235426.88</v>
      </c>
      <c r="G7" s="537"/>
      <c r="I7" s="749"/>
    </row>
    <row r="8" spans="1:18" ht="12" x14ac:dyDescent="0.2">
      <c r="A8" s="539"/>
      <c r="B8" s="540" t="s">
        <v>159</v>
      </c>
      <c r="C8" s="533">
        <f>'June 2024'!F8</f>
        <v>-10978.730000000001</v>
      </c>
      <c r="D8" s="541">
        <v>280.70999999999998</v>
      </c>
      <c r="E8" s="541">
        <f>3556.5+2428.86</f>
        <v>5985.3600000000006</v>
      </c>
      <c r="F8" s="542">
        <f>C8+D8-E8</f>
        <v>-16683.380000000005</v>
      </c>
      <c r="G8" s="537"/>
      <c r="H8" s="543"/>
      <c r="I8" s="287"/>
    </row>
    <row r="9" spans="1:18" ht="12" hidden="1" x14ac:dyDescent="0.2">
      <c r="A9" s="539"/>
      <c r="B9" s="544" t="s">
        <v>67</v>
      </c>
      <c r="C9" s="533">
        <f>'June 2024'!F9</f>
        <v>0</v>
      </c>
      <c r="D9" s="541"/>
      <c r="E9" s="541"/>
      <c r="F9" s="536">
        <f t="shared" ref="F9:F15" si="0">C9+D9-E9</f>
        <v>0</v>
      </c>
      <c r="G9" s="537"/>
      <c r="H9" s="543"/>
      <c r="I9" s="289"/>
      <c r="J9" s="749"/>
    </row>
    <row r="10" spans="1:18" ht="12" hidden="1" x14ac:dyDescent="0.2">
      <c r="A10" s="539"/>
      <c r="B10" s="544" t="s">
        <v>41</v>
      </c>
      <c r="C10" s="533">
        <f>'June 2024'!F10</f>
        <v>-1.0000000002037268E-2</v>
      </c>
      <c r="D10" s="545"/>
      <c r="E10" s="545"/>
      <c r="F10" s="542">
        <f t="shared" si="0"/>
        <v>-1.0000000002037268E-2</v>
      </c>
      <c r="G10" s="537"/>
      <c r="H10" s="543"/>
      <c r="I10" s="291"/>
      <c r="J10" s="749"/>
    </row>
    <row r="11" spans="1:18" ht="12" x14ac:dyDescent="0.2">
      <c r="A11" s="539"/>
      <c r="B11" s="544" t="s">
        <v>117</v>
      </c>
      <c r="C11" s="533">
        <f>'June 2024'!F11</f>
        <v>1136</v>
      </c>
      <c r="D11" s="546"/>
      <c r="E11" s="546"/>
      <c r="F11" s="536">
        <f t="shared" si="0"/>
        <v>1136</v>
      </c>
      <c r="G11" s="537"/>
      <c r="H11" s="543"/>
      <c r="I11" s="293"/>
    </row>
    <row r="12" spans="1:18" ht="12" x14ac:dyDescent="0.2">
      <c r="A12" s="539"/>
      <c r="B12" s="544" t="s">
        <v>20</v>
      </c>
      <c r="C12" s="533">
        <f>'June 2024'!F12</f>
        <v>5172.3500000000004</v>
      </c>
      <c r="D12" s="547">
        <v>33.68</v>
      </c>
      <c r="E12" s="547"/>
      <c r="F12" s="548">
        <f>C12+D12-E12</f>
        <v>5206.0300000000007</v>
      </c>
      <c r="G12" s="537"/>
      <c r="H12" s="543"/>
      <c r="I12" s="749"/>
    </row>
    <row r="13" spans="1:18" ht="12" x14ac:dyDescent="0.2">
      <c r="A13" s="539"/>
      <c r="B13" s="544" t="s">
        <v>22</v>
      </c>
      <c r="C13" s="533">
        <f>'June 2024'!F13</f>
        <v>602.10999999999979</v>
      </c>
      <c r="D13" s="547">
        <v>21.61</v>
      </c>
      <c r="E13" s="547">
        <v>312</v>
      </c>
      <c r="F13" s="548">
        <f>C13+D13-E13</f>
        <v>311.7199999999998</v>
      </c>
      <c r="G13" s="537"/>
      <c r="H13" s="543"/>
      <c r="I13" s="749"/>
    </row>
    <row r="14" spans="1:18" ht="12" x14ac:dyDescent="0.2">
      <c r="A14" s="539"/>
      <c r="B14" s="544" t="s">
        <v>28</v>
      </c>
      <c r="C14" s="533">
        <f>'June 2024'!F14</f>
        <v>-536.38000000000102</v>
      </c>
      <c r="D14" s="547"/>
      <c r="E14" s="547">
        <v>220.8</v>
      </c>
      <c r="F14" s="542">
        <f t="shared" si="0"/>
        <v>-757.18000000000097</v>
      </c>
      <c r="G14" s="537"/>
      <c r="H14" s="543"/>
      <c r="I14" s="749"/>
    </row>
    <row r="15" spans="1:18" ht="12" x14ac:dyDescent="0.2">
      <c r="A15" s="539"/>
      <c r="B15" s="549" t="s">
        <v>42</v>
      </c>
      <c r="C15" s="533">
        <f>'June 2024'!F15</f>
        <v>-1317.4199999999998</v>
      </c>
      <c r="D15" s="541"/>
      <c r="E15" s="541"/>
      <c r="F15" s="550">
        <f t="shared" si="0"/>
        <v>-1317.4199999999998</v>
      </c>
      <c r="G15" s="537"/>
      <c r="H15" s="543"/>
      <c r="I15" s="749"/>
    </row>
    <row r="16" spans="1:18" ht="12" x14ac:dyDescent="0.2">
      <c r="A16" s="539"/>
      <c r="B16" s="549" t="s">
        <v>43</v>
      </c>
      <c r="C16" s="533">
        <f>'June 2024'!F16</f>
        <v>-130.41000000000062</v>
      </c>
      <c r="D16" s="541"/>
      <c r="E16" s="541"/>
      <c r="F16" s="548">
        <f>C16+D16-E16</f>
        <v>-130.41000000000062</v>
      </c>
      <c r="G16" s="537"/>
      <c r="H16" s="543"/>
      <c r="I16" s="273"/>
      <c r="P16" s="749"/>
    </row>
    <row r="17" spans="1:16" s="755" customFormat="1" ht="12" x14ac:dyDescent="0.2">
      <c r="A17" s="658"/>
      <c r="B17" s="659" t="s">
        <v>170</v>
      </c>
      <c r="C17" s="533">
        <v>0</v>
      </c>
      <c r="D17" s="541">
        <v>79245.45</v>
      </c>
      <c r="E17" s="541"/>
      <c r="F17" s="548">
        <f>C17+D17-E17</f>
        <v>79245.45</v>
      </c>
      <c r="G17" s="537"/>
      <c r="H17" s="543"/>
      <c r="I17" s="273"/>
      <c r="P17" s="756"/>
    </row>
    <row r="18" spans="1:16" ht="12" x14ac:dyDescent="0.2">
      <c r="A18" s="658"/>
      <c r="B18" s="659" t="s">
        <v>169</v>
      </c>
      <c r="C18" s="533">
        <f>'June 2024'!F17</f>
        <v>158490.89000000001</v>
      </c>
      <c r="D18" s="541"/>
      <c r="E18" s="541"/>
      <c r="F18" s="548">
        <f>C18+D18-E18</f>
        <v>158490.89000000001</v>
      </c>
      <c r="G18" s="537"/>
      <c r="H18" s="543"/>
      <c r="I18" s="273"/>
      <c r="P18" s="749"/>
    </row>
    <row r="19" spans="1:16" ht="12" x14ac:dyDescent="0.2">
      <c r="A19" s="823" t="s">
        <v>53</v>
      </c>
      <c r="B19" s="823"/>
      <c r="C19" s="551">
        <f>SUM(C20:C24)</f>
        <v>-15120.130000000005</v>
      </c>
      <c r="D19" s="552">
        <f>SUM(D20:D24)</f>
        <v>8790.89</v>
      </c>
      <c r="E19" s="552">
        <f>SUM(E20:E24)</f>
        <v>2631.89</v>
      </c>
      <c r="F19" s="542">
        <f>SUM(F20:F24)</f>
        <v>-8961.1300000000047</v>
      </c>
      <c r="G19" s="553">
        <f>SUM(G22+G24+G20)</f>
        <v>13500</v>
      </c>
      <c r="H19" s="543"/>
      <c r="I19" s="273"/>
      <c r="P19" s="749"/>
    </row>
    <row r="20" spans="1:16" ht="12" x14ac:dyDescent="0.2">
      <c r="A20" s="554"/>
      <c r="B20" s="555" t="s">
        <v>9</v>
      </c>
      <c r="C20" s="556">
        <f>'June 2024'!F19</f>
        <v>-86.690000000001959</v>
      </c>
      <c r="D20" s="557"/>
      <c r="E20" s="558"/>
      <c r="F20" s="559">
        <f>C20+D20-E20</f>
        <v>-86.690000000001959</v>
      </c>
      <c r="G20" s="541"/>
      <c r="H20" s="560"/>
      <c r="I20" s="749"/>
      <c r="J20" s="79"/>
    </row>
    <row r="21" spans="1:16" ht="12" x14ac:dyDescent="0.2">
      <c r="A21" s="539"/>
      <c r="B21" s="561" t="s">
        <v>8</v>
      </c>
      <c r="C21" s="556">
        <f>'June 2024'!F20</f>
        <v>-1046.1199999999994</v>
      </c>
      <c r="D21" s="547">
        <v>3649.89</v>
      </c>
      <c r="E21" s="545">
        <f>845.89+150</f>
        <v>995.89</v>
      </c>
      <c r="F21" s="559">
        <f>C21+D21-E21</f>
        <v>1607.8800000000006</v>
      </c>
      <c r="G21" s="562"/>
      <c r="H21" s="560"/>
      <c r="I21" s="749"/>
    </row>
    <row r="22" spans="1:16" ht="12" x14ac:dyDescent="0.2">
      <c r="A22" s="539"/>
      <c r="B22" s="563" t="s">
        <v>32</v>
      </c>
      <c r="C22" s="556">
        <f>'June 2024'!F21</f>
        <v>-8553.4500000000025</v>
      </c>
      <c r="D22" s="547">
        <v>5141</v>
      </c>
      <c r="E22" s="545">
        <v>746.87</v>
      </c>
      <c r="F22" s="559">
        <f t="shared" ref="F22:F24" si="1">C22+D22-E22</f>
        <v>-4159.3200000000024</v>
      </c>
      <c r="G22" s="564">
        <v>5000</v>
      </c>
      <c r="H22" s="560"/>
      <c r="I22" s="749"/>
    </row>
    <row r="23" spans="1:16" ht="12" hidden="1" x14ac:dyDescent="0.2">
      <c r="A23" s="539"/>
      <c r="B23" s="561"/>
      <c r="C23" s="556">
        <f>'June 2024'!F22</f>
        <v>0</v>
      </c>
      <c r="D23" s="547"/>
      <c r="E23" s="547"/>
      <c r="F23" s="559"/>
      <c r="G23" s="564"/>
      <c r="H23" s="560"/>
      <c r="I23" s="749"/>
    </row>
    <row r="24" spans="1:16" ht="12" x14ac:dyDescent="0.2">
      <c r="A24" s="565"/>
      <c r="B24" s="566" t="s">
        <v>38</v>
      </c>
      <c r="C24" s="556">
        <f>'June 2024'!F23</f>
        <v>-5433.87</v>
      </c>
      <c r="D24" s="567"/>
      <c r="E24" s="558">
        <v>889.13</v>
      </c>
      <c r="F24" s="559">
        <f t="shared" si="1"/>
        <v>-6323</v>
      </c>
      <c r="G24" s="541">
        <v>8500</v>
      </c>
      <c r="H24" s="560"/>
      <c r="I24" s="749"/>
      <c r="J24" s="79"/>
    </row>
    <row r="25" spans="1:16" ht="12" x14ac:dyDescent="0.2">
      <c r="A25" s="824" t="s">
        <v>10</v>
      </c>
      <c r="B25" s="825"/>
      <c r="C25" s="551">
        <f>SUM(C26:C34)</f>
        <v>95801.780000000013</v>
      </c>
      <c r="D25" s="568">
        <f>SUM(D26:D34)</f>
        <v>0</v>
      </c>
      <c r="E25" s="569">
        <f>SUM(E26:E34)</f>
        <v>17236.940000000002</v>
      </c>
      <c r="F25" s="569">
        <f>SUM(F26:F34)-0.08</f>
        <v>78564.780000000013</v>
      </c>
      <c r="G25" s="570"/>
      <c r="H25" s="543"/>
      <c r="I25" s="273"/>
      <c r="P25" s="749"/>
    </row>
    <row r="26" spans="1:16" ht="12" hidden="1" x14ac:dyDescent="0.2">
      <c r="A26" s="554"/>
      <c r="B26" s="571" t="s">
        <v>55</v>
      </c>
      <c r="C26" s="556">
        <f>'February 2021'!G24</f>
        <v>0</v>
      </c>
      <c r="D26" s="572"/>
      <c r="E26" s="557"/>
      <c r="F26" s="573">
        <f>C26+D26-E26</f>
        <v>0</v>
      </c>
      <c r="G26" s="534"/>
      <c r="H26" s="543"/>
      <c r="I26" s="749"/>
      <c r="J26" s="319"/>
    </row>
    <row r="27" spans="1:16" ht="12" hidden="1" x14ac:dyDescent="0.2">
      <c r="A27" s="565"/>
      <c r="B27" s="549" t="s">
        <v>70</v>
      </c>
      <c r="C27" s="556">
        <f>'January 2022'!F25</f>
        <v>7.9999999998108251E-2</v>
      </c>
      <c r="D27" s="567"/>
      <c r="E27" s="567"/>
      <c r="F27" s="573">
        <f>C27+D27-E27</f>
        <v>7.9999999998108251E-2</v>
      </c>
      <c r="G27" s="541"/>
      <c r="H27" s="543"/>
      <c r="I27" s="749"/>
      <c r="J27" s="319"/>
    </row>
    <row r="28" spans="1:16" ht="12" hidden="1" x14ac:dyDescent="0.2">
      <c r="A28" s="531"/>
      <c r="B28" s="574" t="s">
        <v>105</v>
      </c>
      <c r="C28" s="556">
        <f>'April 2023'!F26</f>
        <v>-1.9999999992592166E-2</v>
      </c>
      <c r="D28" s="558"/>
      <c r="E28" s="575"/>
      <c r="F28" s="573">
        <f>C28+D28-E28+0.02</f>
        <v>7.4078347622741347E-12</v>
      </c>
      <c r="G28" s="541"/>
      <c r="H28" s="543"/>
      <c r="I28" s="749"/>
      <c r="J28" s="749"/>
    </row>
    <row r="29" spans="1:16" ht="12" hidden="1" x14ac:dyDescent="0.2">
      <c r="A29" s="531"/>
      <c r="B29" s="574" t="s">
        <v>39</v>
      </c>
      <c r="C29" s="556">
        <f>'April 2023'!F27</f>
        <v>8.1854523159563541E-12</v>
      </c>
      <c r="D29" s="567"/>
      <c r="E29" s="558"/>
      <c r="F29" s="573">
        <f t="shared" ref="F29:F33" si="2">C29+D29-E29</f>
        <v>8.1854523159563541E-12</v>
      </c>
      <c r="G29" s="541"/>
      <c r="H29" s="543"/>
      <c r="I29" s="749"/>
      <c r="J29" s="749"/>
    </row>
    <row r="30" spans="1:16" ht="12" x14ac:dyDescent="0.2">
      <c r="A30" s="531"/>
      <c r="B30" s="574" t="s">
        <v>152</v>
      </c>
      <c r="C30" s="556">
        <f>'June 2024'!F29</f>
        <v>53215.78</v>
      </c>
      <c r="D30" s="567"/>
      <c r="E30" s="567">
        <v>3218.63</v>
      </c>
      <c r="F30" s="573">
        <f t="shared" si="2"/>
        <v>49997.15</v>
      </c>
      <c r="G30" s="541"/>
      <c r="H30" s="543"/>
      <c r="I30" s="749"/>
      <c r="J30" s="749"/>
    </row>
    <row r="31" spans="1:16" ht="12" x14ac:dyDescent="0.2">
      <c r="A31" s="531"/>
      <c r="B31" s="574" t="s">
        <v>167</v>
      </c>
      <c r="C31" s="556">
        <f>'June 2024'!F30</f>
        <v>40000</v>
      </c>
      <c r="D31" s="567"/>
      <c r="E31" s="567"/>
      <c r="F31" s="573">
        <f t="shared" si="2"/>
        <v>40000</v>
      </c>
      <c r="G31" s="541"/>
      <c r="H31" s="543"/>
      <c r="I31" s="749"/>
      <c r="J31" s="749"/>
    </row>
    <row r="32" spans="1:16" ht="12" hidden="1" x14ac:dyDescent="0.2">
      <c r="A32" s="531"/>
      <c r="B32" s="574" t="s">
        <v>101</v>
      </c>
      <c r="C32" s="556">
        <f>'June 2024'!F31</f>
        <v>1.9554136088117957E-11</v>
      </c>
      <c r="D32" s="567"/>
      <c r="E32" s="567"/>
      <c r="F32" s="573">
        <f t="shared" si="2"/>
        <v>1.9554136088117957E-11</v>
      </c>
      <c r="G32" s="541"/>
      <c r="H32" s="543"/>
      <c r="I32" s="749"/>
      <c r="J32" s="749"/>
    </row>
    <row r="33" spans="1:16" ht="12" x14ac:dyDescent="0.2">
      <c r="A33" s="531"/>
      <c r="B33" s="574" t="s">
        <v>119</v>
      </c>
      <c r="C33" s="556">
        <f>'June 2024'!F32</f>
        <v>20023.949999999983</v>
      </c>
      <c r="D33" s="567"/>
      <c r="E33" s="567">
        <v>13607.07</v>
      </c>
      <c r="F33" s="573">
        <f t="shared" si="2"/>
        <v>6416.8799999999828</v>
      </c>
      <c r="G33" s="541"/>
      <c r="H33" s="543"/>
      <c r="I33" s="749"/>
      <c r="J33" s="749"/>
    </row>
    <row r="34" spans="1:16" ht="12" x14ac:dyDescent="0.2">
      <c r="A34" s="531"/>
      <c r="B34" s="549" t="s">
        <v>44</v>
      </c>
      <c r="C34" s="556">
        <f>'June 2024'!F33</f>
        <v>-17438.009999999998</v>
      </c>
      <c r="D34" s="567"/>
      <c r="E34" s="558">
        <v>411.24</v>
      </c>
      <c r="F34" s="573">
        <f>C34+D34-E34</f>
        <v>-17849.25</v>
      </c>
      <c r="G34" s="541"/>
      <c r="H34" s="543"/>
      <c r="I34" s="749"/>
      <c r="J34" s="749"/>
    </row>
    <row r="35" spans="1:16" ht="12" x14ac:dyDescent="0.2">
      <c r="A35" s="826" t="s">
        <v>35</v>
      </c>
      <c r="B35" s="827"/>
      <c r="C35" s="551">
        <f>SUM(C36:C42)</f>
        <v>95118.15</v>
      </c>
      <c r="D35" s="568">
        <f>SUM(D36:D42)</f>
        <v>0</v>
      </c>
      <c r="E35" s="569">
        <f>SUM(E36:E42)</f>
        <v>13402.27</v>
      </c>
      <c r="F35" s="569">
        <f>SUM(F36:F42)</f>
        <v>81715.87999999999</v>
      </c>
      <c r="G35" s="570">
        <f>SUM(G36:G39)</f>
        <v>0</v>
      </c>
      <c r="H35" s="543"/>
      <c r="I35" s="273"/>
      <c r="P35" s="749"/>
    </row>
    <row r="36" spans="1:16" ht="15" x14ac:dyDescent="0.25">
      <c r="A36" s="565"/>
      <c r="B36" s="549" t="s">
        <v>153</v>
      </c>
      <c r="C36" s="708">
        <f>'June 2024'!F35</f>
        <v>40405.500000000007</v>
      </c>
      <c r="D36" s="709"/>
      <c r="E36" s="717">
        <f>4872.89+7685.6+302.3</f>
        <v>12860.79</v>
      </c>
      <c r="F36" s="711">
        <f>C36+D36-E36</f>
        <v>27544.710000000006</v>
      </c>
      <c r="G36" s="709"/>
      <c r="H36" s="757" t="s">
        <v>168</v>
      </c>
      <c r="I36" s="749"/>
      <c r="J36" s="319"/>
    </row>
    <row r="37" spans="1:16" ht="12" x14ac:dyDescent="0.2">
      <c r="A37" s="565"/>
      <c r="B37" s="549" t="s">
        <v>90</v>
      </c>
      <c r="C37" s="708">
        <f>'June 2024'!F36</f>
        <v>0</v>
      </c>
      <c r="D37" s="576"/>
      <c r="E37" s="577"/>
      <c r="F37" s="578">
        <f t="shared" ref="F37:F38" si="3">C37+D37-E37</f>
        <v>0</v>
      </c>
      <c r="G37" s="541"/>
      <c r="H37" s="543"/>
      <c r="I37" s="749"/>
      <c r="J37" s="319"/>
    </row>
    <row r="38" spans="1:16" ht="12" x14ac:dyDescent="0.2">
      <c r="A38" s="565"/>
      <c r="B38" s="549" t="s">
        <v>138</v>
      </c>
      <c r="C38" s="708">
        <f>'June 2024'!F37</f>
        <v>6049</v>
      </c>
      <c r="D38" s="576"/>
      <c r="E38" s="577"/>
      <c r="F38" s="578">
        <f t="shared" si="3"/>
        <v>6049</v>
      </c>
      <c r="G38" s="541"/>
      <c r="H38" s="543"/>
      <c r="I38" s="749"/>
      <c r="J38" s="319"/>
    </row>
    <row r="39" spans="1:16" ht="12" x14ac:dyDescent="0.2">
      <c r="A39" s="565"/>
      <c r="B39" s="579" t="s">
        <v>164</v>
      </c>
      <c r="C39" s="708">
        <f>'June 2024'!F38</f>
        <v>24059.719999999994</v>
      </c>
      <c r="D39" s="576"/>
      <c r="E39" s="558">
        <v>132.47999999999999</v>
      </c>
      <c r="F39" s="578">
        <f>C39+D39-E39</f>
        <v>23927.239999999994</v>
      </c>
      <c r="G39" s="541"/>
      <c r="H39" s="543"/>
      <c r="I39" s="293"/>
      <c r="J39" s="266"/>
      <c r="P39" s="326"/>
    </row>
    <row r="40" spans="1:16" ht="12" x14ac:dyDescent="0.2">
      <c r="A40" s="751"/>
      <c r="B40" s="751" t="s">
        <v>99</v>
      </c>
      <c r="C40" s="708">
        <f>'June 2024'!F39</f>
        <v>15550</v>
      </c>
      <c r="D40" s="580"/>
      <c r="E40" s="751"/>
      <c r="F40" s="578">
        <f>C40+D40-E40</f>
        <v>15550</v>
      </c>
      <c r="G40" s="751"/>
      <c r="H40" s="751"/>
    </row>
    <row r="41" spans="1:16" ht="12" x14ac:dyDescent="0.2">
      <c r="A41" s="751"/>
      <c r="B41" s="751" t="s">
        <v>131</v>
      </c>
      <c r="C41" s="708">
        <f>'June 2024'!F40</f>
        <v>9866.65</v>
      </c>
      <c r="D41" s="582"/>
      <c r="E41" s="740">
        <v>409</v>
      </c>
      <c r="F41" s="578">
        <f>C41+D41-E41</f>
        <v>9457.65</v>
      </c>
      <c r="G41" s="751"/>
      <c r="H41" s="751"/>
    </row>
    <row r="42" spans="1:16" ht="12.75" thickBot="1" x14ac:dyDescent="0.25">
      <c r="A42" s="751"/>
      <c r="B42" s="583" t="s">
        <v>111</v>
      </c>
      <c r="C42" s="708">
        <f>'June 2024'!F41</f>
        <v>-812.72000000000025</v>
      </c>
      <c r="D42" s="584"/>
      <c r="E42" s="740"/>
      <c r="F42" s="578">
        <f>C42+D42-E42</f>
        <v>-812.72000000000025</v>
      </c>
      <c r="G42" s="751"/>
      <c r="H42" s="751"/>
    </row>
    <row r="43" spans="1:16" ht="12.75" thickBot="1" x14ac:dyDescent="0.25">
      <c r="A43" s="828" t="s">
        <v>11</v>
      </c>
      <c r="B43" s="812"/>
      <c r="C43" s="585">
        <f>C35+C25+C19+C6</f>
        <v>560001.67999999993</v>
      </c>
      <c r="D43" s="627">
        <f>SUM(D25,D19,D6,D35)</f>
        <v>92717.51</v>
      </c>
      <c r="E43" s="587">
        <f>SUM(E25,E19,E6,E35)</f>
        <v>40471.03</v>
      </c>
      <c r="F43" s="588">
        <f>SUM(F25,F19,F6,F35)</f>
        <v>612248.1</v>
      </c>
      <c r="G43" s="589">
        <f>SUM(G6,G19,G25,G35)</f>
        <v>13500</v>
      </c>
      <c r="H43" s="752"/>
      <c r="I43" s="749"/>
      <c r="J43" s="331"/>
    </row>
    <row r="44" spans="1:16" ht="12" hidden="1" x14ac:dyDescent="0.2">
      <c r="A44" s="754"/>
      <c r="B44" s="750"/>
      <c r="C44" s="752">
        <f>SUM(C19:C24)</f>
        <v>-30240.260000000006</v>
      </c>
      <c r="D44" s="752"/>
      <c r="E44" s="752"/>
      <c r="F44" s="752"/>
      <c r="G44" s="593"/>
      <c r="H44" s="752"/>
      <c r="K44" s="748" t="s">
        <v>12</v>
      </c>
      <c r="L44" s="748">
        <v>42.43</v>
      </c>
    </row>
    <row r="45" spans="1:16" ht="12.75" hidden="1" thickBot="1" x14ac:dyDescent="0.25">
      <c r="A45" s="594" t="s">
        <v>25</v>
      </c>
      <c r="B45" s="595"/>
      <c r="C45" s="596" t="e">
        <f>SUM(C43,#REF!)</f>
        <v>#REF!</v>
      </c>
      <c r="D45" s="597" t="e">
        <f>SUM(D43,#REF!)</f>
        <v>#REF!</v>
      </c>
      <c r="E45" s="597" t="e">
        <f>SUM(E43,#REF!)</f>
        <v>#REF!</v>
      </c>
      <c r="F45" s="598" t="e">
        <f>SUM(F43,#REF!)</f>
        <v>#REF!</v>
      </c>
      <c r="G45" s="593"/>
      <c r="H45" s="752"/>
      <c r="I45" s="331"/>
      <c r="J45" s="79">
        <v>206730.35</v>
      </c>
    </row>
    <row r="46" spans="1:16" ht="12.75" thickBot="1" x14ac:dyDescent="0.25">
      <c r="A46" s="751"/>
      <c r="B46" s="599"/>
      <c r="C46" s="752"/>
      <c r="D46" s="752"/>
      <c r="E46" s="752"/>
      <c r="F46" s="752"/>
      <c r="G46" s="593"/>
      <c r="H46" s="600"/>
      <c r="I46" s="331"/>
      <c r="J46" s="79"/>
      <c r="P46" s="749"/>
    </row>
    <row r="47" spans="1:16" ht="12.75" thickBot="1" x14ac:dyDescent="0.25">
      <c r="A47" s="829" t="s">
        <v>13</v>
      </c>
      <c r="B47" s="830"/>
      <c r="C47" s="601" t="s">
        <v>2</v>
      </c>
      <c r="D47" s="601" t="s">
        <v>3</v>
      </c>
      <c r="E47" s="601" t="s">
        <v>27</v>
      </c>
      <c r="F47" s="601" t="s">
        <v>5</v>
      </c>
      <c r="G47" s="602"/>
      <c r="H47" s="603"/>
      <c r="I47" s="343"/>
    </row>
    <row r="48" spans="1:16" ht="12.75" thickBot="1" x14ac:dyDescent="0.25">
      <c r="A48" s="815" t="s">
        <v>14</v>
      </c>
      <c r="B48" s="816"/>
      <c r="C48" s="604">
        <f>'June 2024'!F47</f>
        <v>471.05999999999995</v>
      </c>
      <c r="D48" s="605"/>
      <c r="E48" s="605">
        <v>9.35</v>
      </c>
      <c r="F48" s="606">
        <f>C48+D48-E48</f>
        <v>461.70999999999992</v>
      </c>
      <c r="G48" s="752"/>
      <c r="H48" s="751"/>
      <c r="I48" s="331"/>
      <c r="J48" s="79"/>
    </row>
    <row r="49" spans="1:16" ht="12.75" thickBot="1" x14ac:dyDescent="0.25">
      <c r="A49" s="831" t="s">
        <v>15</v>
      </c>
      <c r="B49" s="832"/>
      <c r="C49" s="604">
        <f>'June 2024'!F48</f>
        <v>14518.919999999991</v>
      </c>
      <c r="D49" s="607">
        <v>66000</v>
      </c>
      <c r="E49" s="607">
        <v>42990.25</v>
      </c>
      <c r="F49" s="606">
        <f>C49+D49-E49</f>
        <v>37528.669999999984</v>
      </c>
      <c r="G49" s="752"/>
      <c r="H49" s="608"/>
      <c r="I49" s="331"/>
    </row>
    <row r="50" spans="1:16" ht="12.75" thickBot="1" x14ac:dyDescent="0.25">
      <c r="A50" s="609"/>
      <c r="B50" s="610" t="s">
        <v>21</v>
      </c>
      <c r="C50" s="604">
        <f>'June 2024'!F49</f>
        <v>0</v>
      </c>
      <c r="D50" s="611"/>
      <c r="E50" s="611"/>
      <c r="F50" s="606">
        <f t="shared" ref="F50:F53" si="4">C50+D50-E50</f>
        <v>0</v>
      </c>
      <c r="G50" s="752"/>
      <c r="H50" s="608"/>
      <c r="I50" s="79"/>
    </row>
    <row r="51" spans="1:16" ht="12.75" thickBot="1" x14ac:dyDescent="0.25">
      <c r="A51" s="609"/>
      <c r="B51" s="610" t="s">
        <v>40</v>
      </c>
      <c r="C51" s="604">
        <f>'June 2024'!F50</f>
        <v>-2227.5099999999957</v>
      </c>
      <c r="D51" s="612">
        <v>1726.03</v>
      </c>
      <c r="E51" s="612">
        <v>1521.91</v>
      </c>
      <c r="F51" s="606">
        <f>C51+D51-E51</f>
        <v>-2023.3899999999958</v>
      </c>
      <c r="G51" s="752"/>
      <c r="H51" s="613"/>
      <c r="I51" s="79"/>
    </row>
    <row r="52" spans="1:16" ht="12.75" thickBot="1" x14ac:dyDescent="0.25">
      <c r="A52" s="692"/>
      <c r="B52" s="693" t="s">
        <v>150</v>
      </c>
      <c r="C52" s="604">
        <f>'June 2024'!F51</f>
        <v>150000</v>
      </c>
      <c r="D52" s="612">
        <v>3982.81</v>
      </c>
      <c r="E52" s="612"/>
      <c r="F52" s="606">
        <f>C52+D52-E52</f>
        <v>153982.81</v>
      </c>
      <c r="G52" s="752"/>
      <c r="H52" s="613"/>
      <c r="I52" s="79"/>
    </row>
    <row r="53" spans="1:16" ht="12.75" thickBot="1" x14ac:dyDescent="0.25">
      <c r="A53" s="815" t="s">
        <v>16</v>
      </c>
      <c r="B53" s="816"/>
      <c r="C53" s="604">
        <f>'June 2024'!F52</f>
        <v>186390.77000000011</v>
      </c>
      <c r="D53" s="614">
        <v>92283.92</v>
      </c>
      <c r="E53" s="614">
        <v>66000</v>
      </c>
      <c r="F53" s="606">
        <f t="shared" si="4"/>
        <v>212674.69000000012</v>
      </c>
      <c r="G53" s="752"/>
      <c r="H53" s="613"/>
      <c r="I53" s="79"/>
    </row>
    <row r="54" spans="1:16" ht="12.75" thickBot="1" x14ac:dyDescent="0.25">
      <c r="A54" s="615" t="s">
        <v>162</v>
      </c>
      <c r="B54" s="616"/>
      <c r="C54" s="604">
        <f>'June 2024'!F53</f>
        <v>210848.37999999989</v>
      </c>
      <c r="D54" s="576">
        <v>275.51</v>
      </c>
      <c r="E54" s="576">
        <f>90+1375+35.27</f>
        <v>1500.27</v>
      </c>
      <c r="F54" s="606">
        <f>C54+D54-E54</f>
        <v>209623.61999999991</v>
      </c>
      <c r="G54" s="752"/>
      <c r="H54" s="613"/>
      <c r="I54" s="79"/>
    </row>
    <row r="55" spans="1:16" ht="12.75" thickBot="1" x14ac:dyDescent="0.25">
      <c r="A55" s="811"/>
      <c r="B55" s="812"/>
      <c r="C55" s="617">
        <f>SUM(C48+C49+C53+C54+C51+C50+C52)</f>
        <v>560001.62</v>
      </c>
      <c r="D55" s="618">
        <f>SUM(D48:D54)</f>
        <v>164268.27000000002</v>
      </c>
      <c r="E55" s="618">
        <f>SUM(E48:E54)</f>
        <v>112021.78000000001</v>
      </c>
      <c r="F55" s="606">
        <f>C55+D55-E55</f>
        <v>612248.11</v>
      </c>
      <c r="G55" s="752"/>
      <c r="H55" s="603"/>
      <c r="I55" s="79"/>
      <c r="J55" s="266"/>
    </row>
    <row r="56" spans="1:16" ht="12" x14ac:dyDescent="0.2">
      <c r="A56" s="754"/>
      <c r="B56" s="750"/>
      <c r="C56" s="752">
        <f>C43-C55</f>
        <v>5.9999999939464033E-2</v>
      </c>
      <c r="D56" s="752"/>
      <c r="E56" s="752"/>
      <c r="F56" s="752">
        <f>F43-F55</f>
        <v>-1.0000000009313226E-2</v>
      </c>
      <c r="G56" s="751"/>
      <c r="H56" s="752"/>
      <c r="I56" s="331"/>
      <c r="J56" s="331"/>
      <c r="K56" s="266"/>
    </row>
    <row r="57" spans="1:16" ht="12" x14ac:dyDescent="0.2">
      <c r="A57" s="751"/>
      <c r="B57" s="599"/>
      <c r="C57" s="752"/>
      <c r="D57" s="752"/>
      <c r="E57" s="752"/>
      <c r="F57" s="752"/>
      <c r="G57" s="752"/>
      <c r="H57" s="752"/>
      <c r="I57" s="331"/>
    </row>
    <row r="58" spans="1:16" ht="12" x14ac:dyDescent="0.2">
      <c r="A58" s="813" t="s">
        <v>17</v>
      </c>
      <c r="B58" s="813"/>
      <c r="C58" s="813"/>
      <c r="D58" s="813"/>
      <c r="E58" s="814" t="s">
        <v>18</v>
      </c>
      <c r="F58" s="814"/>
      <c r="G58" s="752"/>
      <c r="H58" s="752"/>
      <c r="J58" s="331"/>
    </row>
    <row r="59" spans="1:16" ht="12" x14ac:dyDescent="0.2">
      <c r="A59" s="751"/>
      <c r="B59" s="751"/>
      <c r="C59" s="752"/>
      <c r="D59" s="752"/>
      <c r="E59" s="752"/>
      <c r="F59" s="752"/>
      <c r="G59" s="752"/>
      <c r="H59" s="752"/>
    </row>
    <row r="60" spans="1:16" ht="12" x14ac:dyDescent="0.2">
      <c r="A60" s="813" t="s">
        <v>19</v>
      </c>
      <c r="B60" s="813"/>
      <c r="C60" s="813"/>
      <c r="D60" s="813"/>
      <c r="E60" s="814" t="s">
        <v>18</v>
      </c>
      <c r="F60" s="814"/>
      <c r="G60" s="752"/>
      <c r="H60" s="752"/>
    </row>
    <row r="61" spans="1:16" ht="12" x14ac:dyDescent="0.2">
      <c r="A61" s="754"/>
      <c r="B61" s="750"/>
      <c r="C61" s="524"/>
      <c r="D61" s="524"/>
      <c r="E61" s="524"/>
      <c r="F61" s="613"/>
      <c r="G61" s="524"/>
      <c r="H61" s="524"/>
      <c r="I61" s="331"/>
      <c r="J61" s="79"/>
      <c r="P61" s="364"/>
    </row>
    <row r="62" spans="1:16" ht="12" x14ac:dyDescent="0.2">
      <c r="A62" s="751"/>
      <c r="B62" s="599"/>
      <c r="C62" s="603"/>
      <c r="D62" s="603"/>
      <c r="E62" s="603"/>
      <c r="H62" s="751"/>
      <c r="I62" s="331"/>
      <c r="J62" s="343"/>
      <c r="L62" s="266"/>
      <c r="P62" s="364"/>
    </row>
    <row r="63" spans="1:16" x14ac:dyDescent="0.2">
      <c r="B63" s="340"/>
      <c r="C63" s="79"/>
      <c r="D63" s="331"/>
      <c r="J63" s="331"/>
    </row>
  </sheetData>
  <mergeCells count="17">
    <mergeCell ref="A53:B53"/>
    <mergeCell ref="A2:G2"/>
    <mergeCell ref="A3:G3"/>
    <mergeCell ref="A5:B5"/>
    <mergeCell ref="A6:B6"/>
    <mergeCell ref="A19:B19"/>
    <mergeCell ref="A25:B25"/>
    <mergeCell ref="A35:B35"/>
    <mergeCell ref="A43:B43"/>
    <mergeCell ref="A47:B47"/>
    <mergeCell ref="A48:B48"/>
    <mergeCell ref="A49:B49"/>
    <mergeCell ref="A55:B55"/>
    <mergeCell ref="A58:D58"/>
    <mergeCell ref="E58:F58"/>
    <mergeCell ref="A60:D60"/>
    <mergeCell ref="E60:F60"/>
  </mergeCells>
  <pageMargins left="0.7" right="0.7" top="0.75" bottom="0.75" header="0.3" footer="0.3"/>
  <pageSetup scale="72" orientation="portrait" r:id="rId1"/>
  <legacy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09012-27AB-44CF-9F0F-4D57100F7FDF}">
  <sheetPr>
    <pageSetUpPr fitToPage="1"/>
  </sheetPr>
  <dimension ref="A1:R63"/>
  <sheetViews>
    <sheetView tabSelected="1" topLeftCell="A2" zoomScale="130" zoomScaleNormal="130" workbookViewId="0">
      <selection activeCell="I8" sqref="I8"/>
    </sheetView>
  </sheetViews>
  <sheetFormatPr defaultColWidth="9.140625" defaultRowHeight="11.25" x14ac:dyDescent="0.2"/>
  <cols>
    <col min="1" max="1" width="10.7109375" style="758" customWidth="1"/>
    <col min="2" max="2" width="37.42578125" style="758" customWidth="1"/>
    <col min="3" max="3" width="10" style="758" customWidth="1"/>
    <col min="4" max="4" width="8.85546875" style="758" customWidth="1"/>
    <col min="5" max="6" width="10.28515625" style="758" customWidth="1"/>
    <col min="7" max="7" width="8.85546875" style="758" customWidth="1"/>
    <col min="8" max="8" width="13.85546875" style="758" customWidth="1"/>
    <col min="9" max="9" width="14.7109375" style="758" customWidth="1"/>
    <col min="10" max="10" width="14.5703125" style="758" customWidth="1"/>
    <col min="11" max="11" width="11.28515625" style="758" customWidth="1"/>
    <col min="12" max="15" width="9.140625" style="758"/>
    <col min="16" max="16" width="13" style="758" customWidth="1"/>
    <col min="17" max="16384" width="9.140625" style="758"/>
  </cols>
  <sheetData>
    <row r="1" spans="1:18" hidden="1" x14ac:dyDescent="0.2"/>
    <row r="2" spans="1:18" ht="12" x14ac:dyDescent="0.2">
      <c r="A2" s="817" t="s">
        <v>0</v>
      </c>
      <c r="B2" s="817"/>
      <c r="C2" s="817"/>
      <c r="D2" s="817"/>
      <c r="E2" s="817"/>
      <c r="F2" s="817"/>
      <c r="G2" s="817"/>
      <c r="H2" s="763"/>
    </row>
    <row r="3" spans="1:18" ht="12" x14ac:dyDescent="0.2">
      <c r="A3" s="818" t="s">
        <v>172</v>
      </c>
      <c r="B3" s="818"/>
      <c r="C3" s="818"/>
      <c r="D3" s="818"/>
      <c r="E3" s="818"/>
      <c r="F3" s="818"/>
      <c r="G3" s="818"/>
      <c r="H3" s="526" t="s">
        <v>133</v>
      </c>
      <c r="I3" s="761"/>
    </row>
    <row r="4" spans="1:18" ht="12.75" thickBot="1" x14ac:dyDescent="0.25">
      <c r="A4" s="761"/>
      <c r="B4" s="523" t="s">
        <v>37</v>
      </c>
      <c r="C4" s="761"/>
      <c r="D4" s="761"/>
      <c r="E4" s="761"/>
      <c r="F4" s="524"/>
      <c r="G4" s="761"/>
      <c r="H4" s="530" t="s">
        <v>134</v>
      </c>
    </row>
    <row r="5" spans="1:18" ht="15.75" customHeight="1" x14ac:dyDescent="0.2">
      <c r="A5" s="819" t="s">
        <v>1</v>
      </c>
      <c r="B5" s="820"/>
      <c r="C5" s="525" t="s">
        <v>2</v>
      </c>
      <c r="D5" s="525" t="s">
        <v>3</v>
      </c>
      <c r="E5" s="525" t="s">
        <v>58</v>
      </c>
      <c r="F5" s="525" t="s">
        <v>5</v>
      </c>
      <c r="G5" s="525" t="s">
        <v>6</v>
      </c>
      <c r="H5" s="538" t="s">
        <v>135</v>
      </c>
    </row>
    <row r="6" spans="1:18" ht="12" x14ac:dyDescent="0.2">
      <c r="A6" s="821" t="s">
        <v>132</v>
      </c>
      <c r="B6" s="822"/>
      <c r="C6" s="527">
        <f>SUM(C7:C18)</f>
        <v>460928.57</v>
      </c>
      <c r="D6" s="528">
        <f>SUM(D7:D18)</f>
        <v>2540.5199999999995</v>
      </c>
      <c r="E6" s="528">
        <f>SUM(E7:E18)</f>
        <v>9953.4599999999991</v>
      </c>
      <c r="F6" s="528">
        <f>SUM(F7:F18)</f>
        <v>453515.63</v>
      </c>
      <c r="G6" s="529">
        <f>SUM(G7:G15)</f>
        <v>0</v>
      </c>
      <c r="I6" s="273"/>
      <c r="J6" s="273"/>
      <c r="K6" s="759"/>
      <c r="P6" s="759"/>
      <c r="R6" s="759"/>
    </row>
    <row r="7" spans="1:18" ht="12" customHeight="1" x14ac:dyDescent="0.2">
      <c r="A7" s="531"/>
      <c r="B7" s="532" t="s">
        <v>23</v>
      </c>
      <c r="C7" s="533">
        <f>'July 2024'!F7</f>
        <v>235426.88</v>
      </c>
      <c r="D7" s="534">
        <f>2186.49+354.03</f>
        <v>2540.5199999999995</v>
      </c>
      <c r="E7" s="535">
        <f>1375+36.44+1512.84+80+50.72+1240.59+357.57+96.13-10938.9</f>
        <v>-6189.6100000000006</v>
      </c>
      <c r="F7" s="536">
        <f>C7+D7-E7</f>
        <v>244157.01</v>
      </c>
      <c r="G7" s="537"/>
      <c r="I7" s="759"/>
    </row>
    <row r="8" spans="1:18" ht="12" x14ac:dyDescent="0.2">
      <c r="A8" s="539"/>
      <c r="B8" s="540" t="s">
        <v>159</v>
      </c>
      <c r="C8" s="533">
        <f>'July 2024'!F8</f>
        <v>-16683.380000000005</v>
      </c>
      <c r="D8" s="541"/>
      <c r="E8" s="541">
        <f>3350+765.27</f>
        <v>4115.2700000000004</v>
      </c>
      <c r="F8" s="542">
        <f>C8+D8-E8</f>
        <v>-20798.650000000005</v>
      </c>
      <c r="G8" s="537"/>
      <c r="H8" s="543"/>
      <c r="I8" s="287"/>
    </row>
    <row r="9" spans="1:18" ht="12" hidden="1" x14ac:dyDescent="0.2">
      <c r="A9" s="539"/>
      <c r="B9" s="544" t="s">
        <v>67</v>
      </c>
      <c r="C9" s="533">
        <f>'July 2024'!F9</f>
        <v>0</v>
      </c>
      <c r="D9" s="541"/>
      <c r="E9" s="541"/>
      <c r="F9" s="536">
        <f t="shared" ref="F9:F15" si="0">C9+D9-E9</f>
        <v>0</v>
      </c>
      <c r="G9" s="537"/>
      <c r="H9" s="543"/>
      <c r="I9" s="289"/>
      <c r="J9" s="759"/>
    </row>
    <row r="10" spans="1:18" ht="12" hidden="1" x14ac:dyDescent="0.2">
      <c r="A10" s="539"/>
      <c r="B10" s="544" t="s">
        <v>41</v>
      </c>
      <c r="C10" s="533">
        <f>'July 2024'!F10</f>
        <v>-1.0000000002037268E-2</v>
      </c>
      <c r="D10" s="545"/>
      <c r="E10" s="545"/>
      <c r="F10" s="542">
        <f t="shared" si="0"/>
        <v>-1.0000000002037268E-2</v>
      </c>
      <c r="G10" s="537"/>
      <c r="H10" s="543"/>
      <c r="I10" s="291"/>
      <c r="J10" s="759"/>
    </row>
    <row r="11" spans="1:18" ht="12" x14ac:dyDescent="0.2">
      <c r="A11" s="539"/>
      <c r="B11" s="544" t="s">
        <v>117</v>
      </c>
      <c r="C11" s="533">
        <f>'July 2024'!F11</f>
        <v>1136</v>
      </c>
      <c r="D11" s="546"/>
      <c r="E11" s="546"/>
      <c r="F11" s="536">
        <f t="shared" si="0"/>
        <v>1136</v>
      </c>
      <c r="G11" s="537"/>
      <c r="H11" s="543"/>
      <c r="I11" s="293"/>
    </row>
    <row r="12" spans="1:18" ht="12" x14ac:dyDescent="0.2">
      <c r="A12" s="539"/>
      <c r="B12" s="544" t="s">
        <v>20</v>
      </c>
      <c r="C12" s="533">
        <f>'July 2024'!F12</f>
        <v>5206.0300000000007</v>
      </c>
      <c r="D12" s="547"/>
      <c r="E12" s="547"/>
      <c r="F12" s="548">
        <f>C12+D12-E12</f>
        <v>5206.0300000000007</v>
      </c>
      <c r="G12" s="537"/>
      <c r="H12" s="543"/>
      <c r="I12" s="759"/>
    </row>
    <row r="13" spans="1:18" ht="12" x14ac:dyDescent="0.2">
      <c r="A13" s="539"/>
      <c r="B13" s="544" t="s">
        <v>22</v>
      </c>
      <c r="C13" s="533">
        <f>'July 2024'!F13</f>
        <v>311.7199999999998</v>
      </c>
      <c r="D13" s="547"/>
      <c r="E13" s="547"/>
      <c r="F13" s="548">
        <f>C13+D13-E13</f>
        <v>311.7199999999998</v>
      </c>
      <c r="G13" s="537"/>
      <c r="H13" s="543"/>
      <c r="I13" s="759"/>
    </row>
    <row r="14" spans="1:18" ht="12" x14ac:dyDescent="0.2">
      <c r="A14" s="539"/>
      <c r="B14" s="544" t="s">
        <v>28</v>
      </c>
      <c r="C14" s="533">
        <f>'July 2024'!F14</f>
        <v>-757.18000000000097</v>
      </c>
      <c r="D14" s="547"/>
      <c r="E14" s="547">
        <f>1072.88+33.5</f>
        <v>1106.3800000000001</v>
      </c>
      <c r="F14" s="542">
        <f t="shared" si="0"/>
        <v>-1863.5600000000011</v>
      </c>
      <c r="G14" s="537"/>
      <c r="H14" s="543"/>
      <c r="I14" s="759"/>
    </row>
    <row r="15" spans="1:18" ht="12" x14ac:dyDescent="0.2">
      <c r="A15" s="539"/>
      <c r="B15" s="549" t="s">
        <v>42</v>
      </c>
      <c r="C15" s="533">
        <f>'July 2024'!F15</f>
        <v>-1317.4199999999998</v>
      </c>
      <c r="D15" s="541"/>
      <c r="E15" s="541"/>
      <c r="F15" s="550">
        <f t="shared" si="0"/>
        <v>-1317.4199999999998</v>
      </c>
      <c r="G15" s="537"/>
      <c r="H15" s="543"/>
      <c r="I15" s="759"/>
    </row>
    <row r="16" spans="1:18" ht="12" x14ac:dyDescent="0.2">
      <c r="A16" s="539"/>
      <c r="B16" s="549" t="s">
        <v>43</v>
      </c>
      <c r="C16" s="533">
        <f>'July 2024'!F16</f>
        <v>-130.41000000000062</v>
      </c>
      <c r="D16" s="541"/>
      <c r="E16" s="541">
        <v>26.85</v>
      </c>
      <c r="F16" s="548">
        <f>C16+D16-E16</f>
        <v>-157.26000000000062</v>
      </c>
      <c r="G16" s="537"/>
      <c r="H16" s="543"/>
      <c r="I16" s="273"/>
      <c r="P16" s="759"/>
    </row>
    <row r="17" spans="1:16" ht="12" x14ac:dyDescent="0.2">
      <c r="A17" s="658"/>
      <c r="B17" s="659" t="s">
        <v>170</v>
      </c>
      <c r="C17" s="533">
        <f>'July 2024'!F17</f>
        <v>79245.45</v>
      </c>
      <c r="D17" s="541"/>
      <c r="E17" s="541"/>
      <c r="F17" s="548">
        <f>C17+D17-E17</f>
        <v>79245.45</v>
      </c>
      <c r="G17" s="537"/>
      <c r="H17" s="543"/>
      <c r="I17" s="273"/>
      <c r="P17" s="759"/>
    </row>
    <row r="18" spans="1:16" ht="12" x14ac:dyDescent="0.2">
      <c r="A18" s="658"/>
      <c r="B18" s="659" t="s">
        <v>169</v>
      </c>
      <c r="C18" s="533">
        <f>'July 2024'!F18</f>
        <v>158490.89000000001</v>
      </c>
      <c r="D18" s="541"/>
      <c r="E18" s="541">
        <v>10894.57</v>
      </c>
      <c r="F18" s="548">
        <f>C18+D18-E18</f>
        <v>147596.32</v>
      </c>
      <c r="G18" s="537"/>
      <c r="H18" s="543"/>
      <c r="I18" s="273"/>
      <c r="P18" s="759"/>
    </row>
    <row r="19" spans="1:16" ht="12" x14ac:dyDescent="0.2">
      <c r="A19" s="823" t="s">
        <v>53</v>
      </c>
      <c r="B19" s="823"/>
      <c r="C19" s="551">
        <f>SUM(C20:C24)</f>
        <v>-8961.1300000000047</v>
      </c>
      <c r="D19" s="552">
        <f>SUM(D20:D24)</f>
        <v>0</v>
      </c>
      <c r="E19" s="552">
        <f>SUM(E20:E24)</f>
        <v>2257.5</v>
      </c>
      <c r="F19" s="542">
        <f>SUM(F20:F24)</f>
        <v>-11218.630000000005</v>
      </c>
      <c r="G19" s="553">
        <f>SUM(G22+G24+G20)</f>
        <v>13500</v>
      </c>
      <c r="H19" s="543"/>
      <c r="I19" s="273"/>
      <c r="P19" s="759"/>
    </row>
    <row r="20" spans="1:16" ht="12" x14ac:dyDescent="0.2">
      <c r="A20" s="554"/>
      <c r="B20" s="555" t="s">
        <v>9</v>
      </c>
      <c r="C20" s="556">
        <f>'July 2024'!F20</f>
        <v>-86.690000000001959</v>
      </c>
      <c r="D20" s="557"/>
      <c r="E20" s="558"/>
      <c r="F20" s="559">
        <f>C20+D20-E20</f>
        <v>-86.690000000001959</v>
      </c>
      <c r="G20" s="541"/>
      <c r="H20" s="560"/>
      <c r="I20" s="759"/>
      <c r="J20" s="79"/>
    </row>
    <row r="21" spans="1:16" ht="12" x14ac:dyDescent="0.2">
      <c r="A21" s="539"/>
      <c r="B21" s="561" t="s">
        <v>8</v>
      </c>
      <c r="C21" s="556">
        <f>'July 2024'!F21</f>
        <v>1607.8800000000006</v>
      </c>
      <c r="D21" s="547"/>
      <c r="E21" s="545">
        <f>569.14+164.66</f>
        <v>733.8</v>
      </c>
      <c r="F21" s="559">
        <f>C21+D21-E21</f>
        <v>874.08000000000061</v>
      </c>
      <c r="G21" s="562"/>
      <c r="H21" s="560"/>
      <c r="I21" s="759"/>
    </row>
    <row r="22" spans="1:16" ht="12" x14ac:dyDescent="0.2">
      <c r="A22" s="539"/>
      <c r="B22" s="563" t="s">
        <v>32</v>
      </c>
      <c r="C22" s="556">
        <f>'July 2024'!F22</f>
        <v>-4159.3200000000024</v>
      </c>
      <c r="D22" s="547"/>
      <c r="E22" s="545">
        <v>536.72</v>
      </c>
      <c r="F22" s="559">
        <f t="shared" ref="F22:F24" si="1">C22+D22-E22</f>
        <v>-4696.0400000000027</v>
      </c>
      <c r="G22" s="564">
        <v>5000</v>
      </c>
      <c r="H22" s="560"/>
      <c r="I22" s="759"/>
    </row>
    <row r="23" spans="1:16" ht="12" hidden="1" x14ac:dyDescent="0.2">
      <c r="A23" s="539"/>
      <c r="B23" s="561"/>
      <c r="C23" s="556">
        <f>'July 2024'!F23</f>
        <v>0</v>
      </c>
      <c r="D23" s="547"/>
      <c r="E23" s="547"/>
      <c r="F23" s="559"/>
      <c r="G23" s="564"/>
      <c r="H23" s="560"/>
      <c r="I23" s="759"/>
    </row>
    <row r="24" spans="1:16" ht="12" x14ac:dyDescent="0.2">
      <c r="A24" s="565"/>
      <c r="B24" s="566" t="s">
        <v>38</v>
      </c>
      <c r="C24" s="556">
        <f>'July 2024'!F24</f>
        <v>-6323</v>
      </c>
      <c r="D24" s="567"/>
      <c r="E24" s="558">
        <f>687.83+299.15</f>
        <v>986.98</v>
      </c>
      <c r="F24" s="559">
        <f t="shared" si="1"/>
        <v>-7309.98</v>
      </c>
      <c r="G24" s="541">
        <v>8500</v>
      </c>
      <c r="H24" s="560"/>
      <c r="I24" s="759"/>
      <c r="J24" s="79"/>
    </row>
    <row r="25" spans="1:16" ht="12" x14ac:dyDescent="0.2">
      <c r="A25" s="824" t="s">
        <v>10</v>
      </c>
      <c r="B25" s="825"/>
      <c r="C25" s="551">
        <f>SUM(C26:C34)-0.06</f>
        <v>78564.780000000028</v>
      </c>
      <c r="D25" s="568">
        <f>SUM(D26:D34)</f>
        <v>10454.84</v>
      </c>
      <c r="E25" s="569">
        <f>SUM(E26:E34)</f>
        <v>13532.800000000001</v>
      </c>
      <c r="F25" s="569">
        <f>SUM(F26:F34)</f>
        <v>75486.900000000023</v>
      </c>
      <c r="G25" s="570"/>
      <c r="H25" s="543"/>
      <c r="I25" s="273"/>
      <c r="P25" s="759"/>
    </row>
    <row r="26" spans="1:16" ht="12" hidden="1" x14ac:dyDescent="0.2">
      <c r="A26" s="554"/>
      <c r="B26" s="571" t="s">
        <v>55</v>
      </c>
      <c r="C26" s="556">
        <f>'February 2021'!G24</f>
        <v>0</v>
      </c>
      <c r="D26" s="572"/>
      <c r="E26" s="557"/>
      <c r="F26" s="573">
        <f>C26+D26-E26</f>
        <v>0</v>
      </c>
      <c r="G26" s="534"/>
      <c r="H26" s="543"/>
      <c r="I26" s="759"/>
      <c r="J26" s="319"/>
    </row>
    <row r="27" spans="1:16" ht="12" hidden="1" x14ac:dyDescent="0.2">
      <c r="A27" s="565"/>
      <c r="B27" s="549" t="s">
        <v>70</v>
      </c>
      <c r="C27" s="556">
        <f>'January 2022'!F25</f>
        <v>7.9999999998108251E-2</v>
      </c>
      <c r="D27" s="567"/>
      <c r="E27" s="567"/>
      <c r="F27" s="573">
        <f>C27+D27-E27</f>
        <v>7.9999999998108251E-2</v>
      </c>
      <c r="G27" s="541"/>
      <c r="H27" s="543"/>
      <c r="I27" s="759"/>
      <c r="J27" s="319"/>
    </row>
    <row r="28" spans="1:16" ht="12" hidden="1" x14ac:dyDescent="0.2">
      <c r="A28" s="531"/>
      <c r="B28" s="574" t="s">
        <v>105</v>
      </c>
      <c r="C28" s="556">
        <f>'April 2023'!F26</f>
        <v>-1.9999999992592166E-2</v>
      </c>
      <c r="D28" s="558"/>
      <c r="E28" s="575"/>
      <c r="F28" s="573">
        <f>C28+D28-E28+0.02</f>
        <v>7.4078347622741347E-12</v>
      </c>
      <c r="G28" s="541"/>
      <c r="H28" s="543"/>
      <c r="I28" s="759"/>
      <c r="J28" s="759"/>
    </row>
    <row r="29" spans="1:16" ht="12" hidden="1" x14ac:dyDescent="0.2">
      <c r="A29" s="531"/>
      <c r="B29" s="574" t="s">
        <v>39</v>
      </c>
      <c r="C29" s="556">
        <f>'April 2023'!F27</f>
        <v>8.1854523159563541E-12</v>
      </c>
      <c r="D29" s="567"/>
      <c r="E29" s="558"/>
      <c r="F29" s="573">
        <f t="shared" ref="F29:F33" si="2">C29+D29-E29</f>
        <v>8.1854523159563541E-12</v>
      </c>
      <c r="G29" s="541"/>
      <c r="H29" s="543"/>
      <c r="I29" s="759"/>
      <c r="J29" s="759"/>
    </row>
    <row r="30" spans="1:16" ht="12" x14ac:dyDescent="0.2">
      <c r="A30" s="531"/>
      <c r="B30" s="574" t="s">
        <v>152</v>
      </c>
      <c r="C30" s="556">
        <f>'July 2024'!F30</f>
        <v>49997.15</v>
      </c>
      <c r="D30" s="567"/>
      <c r="E30" s="567">
        <f>1031.04+5751.26</f>
        <v>6782.3</v>
      </c>
      <c r="F30" s="573">
        <f t="shared" si="2"/>
        <v>43214.85</v>
      </c>
      <c r="G30" s="541"/>
      <c r="H30" s="543"/>
      <c r="I30" s="759"/>
      <c r="J30" s="759"/>
    </row>
    <row r="31" spans="1:16" ht="12" x14ac:dyDescent="0.2">
      <c r="A31" s="531"/>
      <c r="B31" s="574" t="s">
        <v>167</v>
      </c>
      <c r="C31" s="556">
        <f>'July 2024'!F31</f>
        <v>40000</v>
      </c>
      <c r="D31" s="567"/>
      <c r="E31" s="567"/>
      <c r="F31" s="573">
        <f t="shared" si="2"/>
        <v>40000</v>
      </c>
      <c r="G31" s="541"/>
      <c r="H31" s="543"/>
      <c r="I31" s="759"/>
      <c r="J31" s="759"/>
    </row>
    <row r="32" spans="1:16" ht="12" x14ac:dyDescent="0.2">
      <c r="A32" s="531"/>
      <c r="B32" s="574" t="s">
        <v>101</v>
      </c>
      <c r="C32" s="556">
        <f>'July 2024'!F32</f>
        <v>1.9554136088117957E-11</v>
      </c>
      <c r="D32" s="567"/>
      <c r="E32" s="567"/>
      <c r="F32" s="573">
        <f t="shared" si="2"/>
        <v>1.9554136088117957E-11</v>
      </c>
      <c r="G32" s="541"/>
      <c r="H32" s="543"/>
      <c r="I32" s="759"/>
      <c r="J32" s="759"/>
    </row>
    <row r="33" spans="1:16" ht="12" x14ac:dyDescent="0.2">
      <c r="A33" s="531"/>
      <c r="B33" s="574" t="s">
        <v>119</v>
      </c>
      <c r="C33" s="556">
        <f>'July 2024'!F33</f>
        <v>6416.8799999999828</v>
      </c>
      <c r="D33" s="567"/>
      <c r="E33" s="567">
        <f>6125.36+291.52</f>
        <v>6416.8799999999992</v>
      </c>
      <c r="F33" s="573">
        <f t="shared" si="2"/>
        <v>-1.6370904631912708E-11</v>
      </c>
      <c r="G33" s="541"/>
      <c r="H33" s="543"/>
      <c r="I33" s="759"/>
      <c r="J33" s="759"/>
    </row>
    <row r="34" spans="1:16" ht="12" x14ac:dyDescent="0.2">
      <c r="A34" s="531"/>
      <c r="B34" s="549" t="s">
        <v>44</v>
      </c>
      <c r="C34" s="556">
        <f>'July 2024'!F34</f>
        <v>-17849.25</v>
      </c>
      <c r="D34" s="567">
        <v>10454.84</v>
      </c>
      <c r="E34" s="558">
        <f>114.97+218.65</f>
        <v>333.62</v>
      </c>
      <c r="F34" s="573">
        <f>C34+D34-E34</f>
        <v>-7728.03</v>
      </c>
      <c r="G34" s="541"/>
      <c r="H34" s="543"/>
      <c r="I34" s="759"/>
      <c r="J34" s="759"/>
    </row>
    <row r="35" spans="1:16" ht="12" x14ac:dyDescent="0.2">
      <c r="A35" s="826" t="s">
        <v>35</v>
      </c>
      <c r="B35" s="827"/>
      <c r="C35" s="551">
        <f>SUM(C36:C42)</f>
        <v>81715.87999999999</v>
      </c>
      <c r="D35" s="568">
        <f>SUM(D36:D42)</f>
        <v>0</v>
      </c>
      <c r="E35" s="569">
        <f>SUM(E36:E42)</f>
        <v>789.23</v>
      </c>
      <c r="F35" s="569">
        <f>SUM(F36:F42)</f>
        <v>80926.649999999994</v>
      </c>
      <c r="G35" s="570">
        <f>SUM(G36:G39)</f>
        <v>0</v>
      </c>
      <c r="H35" s="543"/>
      <c r="I35" s="273"/>
      <c r="P35" s="759"/>
    </row>
    <row r="36" spans="1:16" ht="15" x14ac:dyDescent="0.25">
      <c r="A36" s="565"/>
      <c r="B36" s="549" t="s">
        <v>153</v>
      </c>
      <c r="C36" s="708">
        <f>'July 2024'!F36</f>
        <v>27544.710000000006</v>
      </c>
      <c r="D36" s="709"/>
      <c r="E36" s="717">
        <v>284.75</v>
      </c>
      <c r="F36" s="711">
        <f>C36+D36-E36</f>
        <v>27259.960000000006</v>
      </c>
      <c r="G36" s="709"/>
      <c r="H36" s="757"/>
      <c r="I36" s="759"/>
      <c r="J36" s="319"/>
    </row>
    <row r="37" spans="1:16" ht="12" hidden="1" x14ac:dyDescent="0.2">
      <c r="A37" s="565"/>
      <c r="B37" s="549" t="s">
        <v>90</v>
      </c>
      <c r="C37" s="708">
        <f>'July 2024'!F37</f>
        <v>0</v>
      </c>
      <c r="D37" s="576"/>
      <c r="E37" s="577"/>
      <c r="F37" s="578">
        <f t="shared" ref="F37:F38" si="3">C37+D37-E37</f>
        <v>0</v>
      </c>
      <c r="G37" s="541"/>
      <c r="H37" s="543"/>
      <c r="I37" s="759"/>
      <c r="J37" s="319"/>
    </row>
    <row r="38" spans="1:16" ht="12" x14ac:dyDescent="0.2">
      <c r="A38" s="565"/>
      <c r="B38" s="549" t="s">
        <v>138</v>
      </c>
      <c r="C38" s="708">
        <f>'July 2024'!F38</f>
        <v>6049</v>
      </c>
      <c r="D38" s="576"/>
      <c r="E38" s="577"/>
      <c r="F38" s="578">
        <f t="shared" si="3"/>
        <v>6049</v>
      </c>
      <c r="G38" s="541"/>
      <c r="H38" s="543"/>
      <c r="I38" s="759"/>
      <c r="J38" s="319"/>
    </row>
    <row r="39" spans="1:16" ht="12" x14ac:dyDescent="0.2">
      <c r="A39" s="565"/>
      <c r="B39" s="579" t="s">
        <v>164</v>
      </c>
      <c r="C39" s="708">
        <f>'July 2024'!F39</f>
        <v>23927.239999999994</v>
      </c>
      <c r="D39" s="576"/>
      <c r="E39" s="558">
        <v>33.5</v>
      </c>
      <c r="F39" s="578">
        <f>C39+D39-E39</f>
        <v>23893.739999999994</v>
      </c>
      <c r="G39" s="541"/>
      <c r="H39" s="543"/>
      <c r="I39" s="293"/>
      <c r="J39" s="266"/>
      <c r="P39" s="326"/>
    </row>
    <row r="40" spans="1:16" ht="12" x14ac:dyDescent="0.2">
      <c r="A40" s="761"/>
      <c r="B40" s="761" t="s">
        <v>99</v>
      </c>
      <c r="C40" s="708">
        <f>'July 2024'!F40</f>
        <v>15550</v>
      </c>
      <c r="D40" s="580"/>
      <c r="E40" s="761"/>
      <c r="F40" s="578">
        <f>C40+D40-E40</f>
        <v>15550</v>
      </c>
      <c r="G40" s="761"/>
      <c r="H40" s="761"/>
    </row>
    <row r="41" spans="1:16" ht="12" x14ac:dyDescent="0.2">
      <c r="A41" s="761"/>
      <c r="B41" s="761" t="s">
        <v>131</v>
      </c>
      <c r="C41" s="708">
        <f>'July 2024'!F41</f>
        <v>9457.65</v>
      </c>
      <c r="D41" s="582"/>
      <c r="E41" s="740">
        <f>33.68+437.3</f>
        <v>470.98</v>
      </c>
      <c r="F41" s="578">
        <f>C41+D41-E41</f>
        <v>8986.67</v>
      </c>
      <c r="G41" s="761"/>
      <c r="H41" s="761"/>
    </row>
    <row r="42" spans="1:16" ht="12.75" thickBot="1" x14ac:dyDescent="0.25">
      <c r="A42" s="761"/>
      <c r="B42" s="583" t="s">
        <v>111</v>
      </c>
      <c r="C42" s="708">
        <f>'July 2024'!F42</f>
        <v>-812.72000000000025</v>
      </c>
      <c r="D42" s="584"/>
      <c r="E42" s="740"/>
      <c r="F42" s="578">
        <f>C42+D42-E42</f>
        <v>-812.72000000000025</v>
      </c>
      <c r="G42" s="761"/>
      <c r="H42" s="761"/>
    </row>
    <row r="43" spans="1:16" ht="12.75" thickBot="1" x14ac:dyDescent="0.25">
      <c r="A43" s="828" t="s">
        <v>11</v>
      </c>
      <c r="B43" s="812"/>
      <c r="C43" s="585">
        <f>C35+C25+C19+C6</f>
        <v>612248.10000000009</v>
      </c>
      <c r="D43" s="627">
        <f>SUM(D25,D19,D6,D35)</f>
        <v>12995.36</v>
      </c>
      <c r="E43" s="587">
        <f>SUM(E25,E19,E6,E35)</f>
        <v>26532.99</v>
      </c>
      <c r="F43" s="588">
        <f>SUM(F25,F19,F6,F35)-0.08</f>
        <v>598710.47000000009</v>
      </c>
      <c r="G43" s="589">
        <f>SUM(G6,G19,G25,G35)</f>
        <v>13500</v>
      </c>
      <c r="H43" s="762"/>
      <c r="I43" s="759"/>
      <c r="J43" s="331"/>
    </row>
    <row r="44" spans="1:16" ht="12" hidden="1" x14ac:dyDescent="0.2">
      <c r="A44" s="764"/>
      <c r="B44" s="760"/>
      <c r="C44" s="762">
        <f>SUM(C19:C24)</f>
        <v>-17922.260000000009</v>
      </c>
      <c r="D44" s="762"/>
      <c r="E44" s="762"/>
      <c r="F44" s="762"/>
      <c r="G44" s="593"/>
      <c r="H44" s="762"/>
      <c r="K44" s="758" t="s">
        <v>12</v>
      </c>
      <c r="L44" s="758">
        <v>42.43</v>
      </c>
    </row>
    <row r="45" spans="1:16" ht="12.75" hidden="1" thickBot="1" x14ac:dyDescent="0.25">
      <c r="A45" s="594" t="s">
        <v>25</v>
      </c>
      <c r="B45" s="595"/>
      <c r="C45" s="596" t="e">
        <f>SUM(C43,#REF!)</f>
        <v>#REF!</v>
      </c>
      <c r="D45" s="597" t="e">
        <f>SUM(D43,#REF!)</f>
        <v>#REF!</v>
      </c>
      <c r="E45" s="597" t="e">
        <f>SUM(E43,#REF!)</f>
        <v>#REF!</v>
      </c>
      <c r="F45" s="598" t="e">
        <f>SUM(F43,#REF!)</f>
        <v>#REF!</v>
      </c>
      <c r="G45" s="593"/>
      <c r="H45" s="762"/>
      <c r="I45" s="331"/>
      <c r="J45" s="79">
        <v>206730.35</v>
      </c>
    </row>
    <row r="46" spans="1:16" ht="12.75" thickBot="1" x14ac:dyDescent="0.25">
      <c r="A46" s="761"/>
      <c r="B46" s="599"/>
      <c r="C46" s="762"/>
      <c r="D46" s="762"/>
      <c r="E46" s="762"/>
      <c r="F46" s="762"/>
      <c r="G46" s="593"/>
      <c r="H46" s="600"/>
      <c r="I46" s="331"/>
      <c r="J46" s="79"/>
      <c r="P46" s="759"/>
    </row>
    <row r="47" spans="1:16" ht="12.75" thickBot="1" x14ac:dyDescent="0.25">
      <c r="A47" s="829" t="s">
        <v>13</v>
      </c>
      <c r="B47" s="830"/>
      <c r="C47" s="601" t="s">
        <v>2</v>
      </c>
      <c r="D47" s="601" t="s">
        <v>3</v>
      </c>
      <c r="E47" s="601" t="s">
        <v>27</v>
      </c>
      <c r="F47" s="601" t="s">
        <v>5</v>
      </c>
      <c r="G47" s="602"/>
      <c r="H47" s="603"/>
      <c r="I47" s="343"/>
    </row>
    <row r="48" spans="1:16" ht="12.75" thickBot="1" x14ac:dyDescent="0.25">
      <c r="A48" s="815" t="s">
        <v>14</v>
      </c>
      <c r="B48" s="816"/>
      <c r="C48" s="604">
        <f>'July 2024'!F48</f>
        <v>461.70999999999992</v>
      </c>
      <c r="D48" s="605"/>
      <c r="E48" s="605">
        <v>71.48</v>
      </c>
      <c r="F48" s="606">
        <f>C48+D48-E48</f>
        <v>390.2299999999999</v>
      </c>
      <c r="G48" s="762"/>
      <c r="H48" s="761"/>
      <c r="I48" s="331"/>
      <c r="J48" s="79"/>
    </row>
    <row r="49" spans="1:16" ht="12.75" thickBot="1" x14ac:dyDescent="0.25">
      <c r="A49" s="831" t="s">
        <v>15</v>
      </c>
      <c r="B49" s="832"/>
      <c r="C49" s="604">
        <f>'July 2024'!F49</f>
        <v>37528.669999999984</v>
      </c>
      <c r="D49" s="607"/>
      <c r="E49" s="607">
        <v>34850.51</v>
      </c>
      <c r="F49" s="606">
        <f>C49+D49-E49</f>
        <v>2678.1599999999817</v>
      </c>
      <c r="G49" s="762"/>
      <c r="H49" s="608"/>
      <c r="I49" s="331"/>
    </row>
    <row r="50" spans="1:16" ht="12.75" thickBot="1" x14ac:dyDescent="0.25">
      <c r="A50" s="609"/>
      <c r="B50" s="610" t="s">
        <v>21</v>
      </c>
      <c r="C50" s="604">
        <f>'July 2024'!F50</f>
        <v>0</v>
      </c>
      <c r="D50" s="611"/>
      <c r="E50" s="611"/>
      <c r="F50" s="606">
        <f t="shared" ref="F50:F53" si="4">C50+D50-E50</f>
        <v>0</v>
      </c>
      <c r="G50" s="762"/>
      <c r="H50" s="608"/>
      <c r="I50" s="79"/>
    </row>
    <row r="51" spans="1:16" ht="12.75" thickBot="1" x14ac:dyDescent="0.25">
      <c r="A51" s="609"/>
      <c r="B51" s="610" t="s">
        <v>40</v>
      </c>
      <c r="C51" s="604">
        <f>'July 2024'!F51</f>
        <v>-2023.3899999999958</v>
      </c>
      <c r="D51" s="612">
        <v>1521.91</v>
      </c>
      <c r="E51" s="612">
        <v>1625</v>
      </c>
      <c r="F51" s="606">
        <f>C51+D51-E51</f>
        <v>-2126.4799999999959</v>
      </c>
      <c r="G51" s="762"/>
      <c r="H51" s="613"/>
      <c r="I51" s="79"/>
    </row>
    <row r="52" spans="1:16" ht="12.75" thickBot="1" x14ac:dyDescent="0.25">
      <c r="A52" s="692"/>
      <c r="B52" s="693" t="s">
        <v>150</v>
      </c>
      <c r="C52" s="604">
        <f>'July 2024'!F52</f>
        <v>153982.81</v>
      </c>
      <c r="D52" s="612"/>
      <c r="E52" s="612"/>
      <c r="F52" s="606">
        <f>C52+D52-E52</f>
        <v>153982.81</v>
      </c>
      <c r="G52" s="762"/>
      <c r="H52" s="613"/>
      <c r="I52" s="79"/>
    </row>
    <row r="53" spans="1:16" ht="12.75" thickBot="1" x14ac:dyDescent="0.25">
      <c r="A53" s="815" t="s">
        <v>16</v>
      </c>
      <c r="B53" s="816"/>
      <c r="C53" s="604">
        <f>'July 2024'!F53</f>
        <v>212674.69000000012</v>
      </c>
      <c r="D53" s="614">
        <v>22678.91</v>
      </c>
      <c r="E53" s="614"/>
      <c r="F53" s="606">
        <f t="shared" si="4"/>
        <v>235353.60000000012</v>
      </c>
      <c r="G53" s="762"/>
      <c r="H53" s="613"/>
      <c r="I53" s="79"/>
    </row>
    <row r="54" spans="1:16" ht="12.75" thickBot="1" x14ac:dyDescent="0.25">
      <c r="A54" s="615" t="s">
        <v>162</v>
      </c>
      <c r="B54" s="616"/>
      <c r="C54" s="604">
        <f>'July 2024'!F54</f>
        <v>209623.61999999991</v>
      </c>
      <c r="D54" s="576">
        <v>264.7</v>
      </c>
      <c r="E54" s="576">
        <f>1375+81.17</f>
        <v>1456.17</v>
      </c>
      <c r="F54" s="606">
        <f>C54+D54-E54</f>
        <v>208432.14999999991</v>
      </c>
      <c r="G54" s="762"/>
      <c r="H54" s="613"/>
      <c r="I54" s="79"/>
    </row>
    <row r="55" spans="1:16" ht="12.75" thickBot="1" x14ac:dyDescent="0.25">
      <c r="A55" s="811"/>
      <c r="B55" s="812"/>
      <c r="C55" s="617">
        <f>SUM(C48+C49+C53+C54+C51+C50+C52)</f>
        <v>612248.11</v>
      </c>
      <c r="D55" s="618">
        <f>SUM(D48:D54)</f>
        <v>24465.52</v>
      </c>
      <c r="E55" s="618">
        <f>SUM(E48:E54)</f>
        <v>38003.160000000003</v>
      </c>
      <c r="F55" s="606">
        <f>C55+D55-E55</f>
        <v>598710.47</v>
      </c>
      <c r="G55" s="762"/>
      <c r="H55" s="603"/>
      <c r="I55" s="79"/>
      <c r="J55" s="266"/>
    </row>
    <row r="56" spans="1:16" ht="12" x14ac:dyDescent="0.2">
      <c r="A56" s="764"/>
      <c r="B56" s="760"/>
      <c r="C56" s="762">
        <f>C43-C55</f>
        <v>-9.9999998928979039E-3</v>
      </c>
      <c r="D56" s="762"/>
      <c r="E56" s="762"/>
      <c r="F56" s="762">
        <f>F43-F55</f>
        <v>0</v>
      </c>
      <c r="G56" s="761"/>
      <c r="H56" s="762"/>
      <c r="I56" s="331"/>
      <c r="J56" s="331"/>
      <c r="K56" s="266"/>
    </row>
    <row r="57" spans="1:16" ht="12" x14ac:dyDescent="0.2">
      <c r="A57" s="761"/>
      <c r="B57" s="599"/>
      <c r="C57" s="762"/>
      <c r="D57" s="762"/>
      <c r="E57" s="762"/>
      <c r="F57" s="762"/>
      <c r="G57" s="762"/>
      <c r="H57" s="762"/>
      <c r="I57" s="331"/>
    </row>
    <row r="58" spans="1:16" ht="12" x14ac:dyDescent="0.2">
      <c r="A58" s="813" t="s">
        <v>17</v>
      </c>
      <c r="B58" s="813"/>
      <c r="C58" s="813"/>
      <c r="D58" s="813"/>
      <c r="E58" s="814" t="s">
        <v>18</v>
      </c>
      <c r="F58" s="814"/>
      <c r="G58" s="762"/>
      <c r="H58" s="762"/>
      <c r="J58" s="331"/>
    </row>
    <row r="59" spans="1:16" ht="12" x14ac:dyDescent="0.2">
      <c r="A59" s="761"/>
      <c r="B59" s="761"/>
      <c r="C59" s="762"/>
      <c r="D59" s="762"/>
      <c r="E59" s="762"/>
      <c r="F59" s="762"/>
      <c r="G59" s="762"/>
      <c r="H59" s="762"/>
    </row>
    <row r="60" spans="1:16" ht="12" x14ac:dyDescent="0.2">
      <c r="A60" s="813" t="s">
        <v>19</v>
      </c>
      <c r="B60" s="813"/>
      <c r="C60" s="813"/>
      <c r="D60" s="813"/>
      <c r="E60" s="814" t="s">
        <v>18</v>
      </c>
      <c r="F60" s="814"/>
      <c r="G60" s="762"/>
      <c r="H60" s="762"/>
    </row>
    <row r="61" spans="1:16" ht="12" x14ac:dyDescent="0.2">
      <c r="A61" s="764"/>
      <c r="B61" s="760"/>
      <c r="C61" s="524"/>
      <c r="D61" s="524"/>
      <c r="E61" s="524"/>
      <c r="F61" s="613"/>
      <c r="G61" s="524"/>
      <c r="H61" s="524"/>
      <c r="I61" s="331"/>
      <c r="J61" s="79"/>
      <c r="P61" s="364"/>
    </row>
    <row r="62" spans="1:16" ht="12" x14ac:dyDescent="0.2">
      <c r="A62" s="761"/>
      <c r="B62" s="599"/>
      <c r="C62" s="603"/>
      <c r="D62" s="603"/>
      <c r="E62" s="603"/>
      <c r="H62" s="761"/>
      <c r="I62" s="331"/>
      <c r="J62" s="343"/>
      <c r="L62" s="266"/>
      <c r="P62" s="364"/>
    </row>
    <row r="63" spans="1:16" x14ac:dyDescent="0.2">
      <c r="B63" s="340"/>
      <c r="C63" s="79"/>
      <c r="D63" s="331"/>
      <c r="J63" s="331"/>
    </row>
  </sheetData>
  <mergeCells count="17">
    <mergeCell ref="A53:B53"/>
    <mergeCell ref="A2:G2"/>
    <mergeCell ref="A3:G3"/>
    <mergeCell ref="A5:B5"/>
    <mergeCell ref="A6:B6"/>
    <mergeCell ref="A19:B19"/>
    <mergeCell ref="A25:B25"/>
    <mergeCell ref="A35:B35"/>
    <mergeCell ref="A43:B43"/>
    <mergeCell ref="A47:B47"/>
    <mergeCell ref="A48:B48"/>
    <mergeCell ref="A49:B49"/>
    <mergeCell ref="A55:B55"/>
    <mergeCell ref="A58:D58"/>
    <mergeCell ref="E58:F58"/>
    <mergeCell ref="A60:D60"/>
    <mergeCell ref="E60:F60"/>
  </mergeCells>
  <pageMargins left="0.7" right="0.7" top="0.75" bottom="0.75" header="0.3" footer="0.3"/>
  <pageSetup scale="82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6162D-FC86-4C1A-A013-45C9A1AAA593}">
  <sheetPr>
    <pageSetUpPr fitToPage="1"/>
  </sheetPr>
  <dimension ref="A1:S52"/>
  <sheetViews>
    <sheetView topLeftCell="A2" zoomScale="80" zoomScaleNormal="80" workbookViewId="0">
      <selection activeCell="F8" sqref="F8"/>
    </sheetView>
  </sheetViews>
  <sheetFormatPr defaultColWidth="9.140625" defaultRowHeight="15" x14ac:dyDescent="0.25"/>
  <cols>
    <col min="1" max="1" width="3" customWidth="1"/>
    <col min="2" max="2" width="5.7109375" customWidth="1"/>
    <col min="3" max="3" width="33.85546875" bestFit="1" customWidth="1"/>
    <col min="4" max="4" width="13.85546875" customWidth="1"/>
    <col min="5" max="5" width="12.5703125" customWidth="1"/>
    <col min="6" max="6" width="15.28515625" customWidth="1"/>
    <col min="7" max="8" width="12.5703125" customWidth="1"/>
    <col min="9" max="9" width="30.28515625" bestFit="1" customWidth="1"/>
    <col min="10" max="10" width="15.85546875" bestFit="1" customWidth="1"/>
    <col min="11" max="11" width="14.5703125" customWidth="1"/>
    <col min="12" max="12" width="11.28515625" customWidth="1"/>
    <col min="17" max="17" width="13" customWidth="1"/>
  </cols>
  <sheetData>
    <row r="1" spans="1:19" hidden="1" x14ac:dyDescent="0.25"/>
    <row r="2" spans="1:19" ht="21" x14ac:dyDescent="0.35">
      <c r="B2" s="771" t="s">
        <v>0</v>
      </c>
      <c r="C2" s="771"/>
      <c r="D2" s="771"/>
      <c r="E2" s="771"/>
      <c r="F2" s="771"/>
      <c r="G2" s="771"/>
      <c r="H2" s="771"/>
      <c r="I2" s="178"/>
    </row>
    <row r="3" spans="1:19" ht="18.75" x14ac:dyDescent="0.3">
      <c r="B3" s="772" t="s">
        <v>61</v>
      </c>
      <c r="C3" s="772"/>
      <c r="D3" s="772"/>
      <c r="E3" s="772"/>
      <c r="F3" s="772"/>
      <c r="G3" s="772"/>
      <c r="H3" s="772"/>
      <c r="I3" s="179"/>
    </row>
    <row r="4" spans="1:19" ht="15.75" thickBot="1" x14ac:dyDescent="0.3">
      <c r="B4" s="1"/>
      <c r="C4" s="51" t="s">
        <v>37</v>
      </c>
      <c r="D4" s="1"/>
      <c r="E4" s="1"/>
      <c r="F4" s="1"/>
      <c r="G4" s="2"/>
      <c r="J4" s="88"/>
    </row>
    <row r="5" spans="1:19" x14ac:dyDescent="0.25">
      <c r="B5" s="773" t="s">
        <v>1</v>
      </c>
      <c r="C5" s="774"/>
      <c r="D5" s="24" t="s">
        <v>2</v>
      </c>
      <c r="E5" s="24" t="s">
        <v>3</v>
      </c>
      <c r="F5" s="24" t="s">
        <v>58</v>
      </c>
      <c r="G5" s="24" t="s">
        <v>5</v>
      </c>
      <c r="H5" s="24" t="s">
        <v>6</v>
      </c>
      <c r="I5" s="50"/>
      <c r="J5" s="50"/>
    </row>
    <row r="6" spans="1:19" x14ac:dyDescent="0.25">
      <c r="B6" s="775" t="s">
        <v>7</v>
      </c>
      <c r="C6" s="776"/>
      <c r="D6" s="25">
        <f>SUM(D7:D16)</f>
        <v>104537.56</v>
      </c>
      <c r="E6" s="62">
        <f>SUM(E7:E16)</f>
        <v>5662.08</v>
      </c>
      <c r="F6" s="62">
        <f>SUM(F7:F16)</f>
        <v>1385.2299999999996</v>
      </c>
      <c r="G6" s="62">
        <f>SUM(G7:G16)</f>
        <v>108814.41</v>
      </c>
      <c r="H6" s="63">
        <f>SUM(H7:H15)</f>
        <v>0</v>
      </c>
      <c r="I6" s="73"/>
      <c r="J6" s="73"/>
      <c r="K6" s="73"/>
      <c r="L6" s="23"/>
      <c r="Q6" s="23"/>
      <c r="S6" s="23"/>
    </row>
    <row r="7" spans="1:19" ht="15.75" customHeight="1" x14ac:dyDescent="0.25">
      <c r="B7" s="11"/>
      <c r="C7" s="22" t="s">
        <v>23</v>
      </c>
      <c r="D7" s="163">
        <f>'March 2020'!G7</f>
        <v>103000.94</v>
      </c>
      <c r="E7" s="67">
        <v>94.58</v>
      </c>
      <c r="F7" s="139">
        <f>1831.13+1313.41-6631.31+2831.13</f>
        <v>-655.64000000000033</v>
      </c>
      <c r="G7" s="164">
        <f>D7+E7-F7</f>
        <v>103751.16</v>
      </c>
      <c r="H7" s="165"/>
      <c r="I7" s="125"/>
      <c r="J7" s="23"/>
    </row>
    <row r="8" spans="1:19" x14ac:dyDescent="0.25">
      <c r="B8" s="12"/>
      <c r="C8" s="52" t="s">
        <v>62</v>
      </c>
      <c r="D8" s="163">
        <f>'March 2020'!G8</f>
        <v>0</v>
      </c>
      <c r="E8" s="166"/>
      <c r="F8" s="166">
        <v>233.84</v>
      </c>
      <c r="G8" s="184">
        <f t="shared" ref="G8:G16" si="0">D8+E8-F8</f>
        <v>-233.84</v>
      </c>
      <c r="H8" s="165"/>
      <c r="I8" s="73"/>
      <c r="J8" s="149"/>
    </row>
    <row r="9" spans="1:19" hidden="1" x14ac:dyDescent="0.25">
      <c r="B9" s="12"/>
      <c r="C9" s="53" t="s">
        <v>31</v>
      </c>
      <c r="D9" s="163">
        <f>'March 2020'!G9</f>
        <v>0</v>
      </c>
      <c r="E9" s="166"/>
      <c r="F9" s="166"/>
      <c r="G9" s="164">
        <f t="shared" si="0"/>
        <v>0</v>
      </c>
      <c r="H9" s="165"/>
      <c r="I9" s="73"/>
      <c r="J9" s="71">
        <v>3231.47</v>
      </c>
      <c r="K9" s="23"/>
    </row>
    <row r="10" spans="1:19" x14ac:dyDescent="0.25">
      <c r="B10" s="12"/>
      <c r="C10" s="53" t="s">
        <v>41</v>
      </c>
      <c r="D10" s="163">
        <f>'March 2020'!G10+0.01</f>
        <v>-1465.07</v>
      </c>
      <c r="E10" s="152"/>
      <c r="F10" s="152">
        <f>131.54+102.14</f>
        <v>233.68</v>
      </c>
      <c r="G10" s="108">
        <f t="shared" si="0"/>
        <v>-1698.75</v>
      </c>
      <c r="H10" s="165"/>
      <c r="I10" s="73"/>
      <c r="J10" s="93"/>
      <c r="K10" s="23"/>
    </row>
    <row r="11" spans="1:19" hidden="1" x14ac:dyDescent="0.25">
      <c r="B11" s="12"/>
      <c r="C11" s="53" t="s">
        <v>29</v>
      </c>
      <c r="D11" s="163">
        <f>'March 2020'!G11</f>
        <v>0</v>
      </c>
      <c r="E11" s="70"/>
      <c r="F11" s="70"/>
      <c r="G11" s="164">
        <f t="shared" si="0"/>
        <v>0</v>
      </c>
      <c r="H11" s="165"/>
      <c r="I11" s="73"/>
      <c r="J11" s="93"/>
    </row>
    <row r="12" spans="1:19" x14ac:dyDescent="0.25">
      <c r="B12" s="12"/>
      <c r="C12" s="53" t="s">
        <v>20</v>
      </c>
      <c r="D12" s="163">
        <f>'March 2020'!G12</f>
        <v>4312.1299999999992</v>
      </c>
      <c r="E12" s="152">
        <v>5223.93</v>
      </c>
      <c r="F12" s="152">
        <v>1258.3499999999999</v>
      </c>
      <c r="G12" s="181">
        <f t="shared" si="0"/>
        <v>8277.7099999999991</v>
      </c>
      <c r="H12" s="165"/>
      <c r="I12" s="73"/>
      <c r="J12" s="23"/>
    </row>
    <row r="13" spans="1:19" x14ac:dyDescent="0.25">
      <c r="B13" s="12"/>
      <c r="C13" s="53" t="s">
        <v>22</v>
      </c>
      <c r="D13" s="163">
        <f>'March 2020'!G13</f>
        <v>304.73</v>
      </c>
      <c r="E13" s="152">
        <v>343.57</v>
      </c>
      <c r="F13" s="167">
        <v>315</v>
      </c>
      <c r="G13" s="181">
        <f t="shared" si="0"/>
        <v>333.29999999999995</v>
      </c>
      <c r="H13" s="165"/>
      <c r="I13" s="73"/>
      <c r="J13" s="23"/>
    </row>
    <row r="14" spans="1:19" x14ac:dyDescent="0.25">
      <c r="B14" s="12"/>
      <c r="C14" s="53" t="s">
        <v>28</v>
      </c>
      <c r="D14" s="163">
        <f>'March 2020'!G14</f>
        <v>-1510.4900000000002</v>
      </c>
      <c r="E14" s="167"/>
      <c r="F14" s="152"/>
      <c r="G14" s="108">
        <f t="shared" si="0"/>
        <v>-1510.4900000000002</v>
      </c>
      <c r="H14" s="165"/>
      <c r="I14" s="73"/>
      <c r="J14" s="23"/>
    </row>
    <row r="15" spans="1:19" x14ac:dyDescent="0.25">
      <c r="A15" t="s">
        <v>26</v>
      </c>
      <c r="B15" s="12"/>
      <c r="C15" s="18" t="s">
        <v>42</v>
      </c>
      <c r="D15" s="163">
        <f>'March 2020'!G15</f>
        <v>34.660000000000025</v>
      </c>
      <c r="E15" s="166"/>
      <c r="F15" s="166"/>
      <c r="G15" s="153">
        <f t="shared" si="0"/>
        <v>34.660000000000025</v>
      </c>
      <c r="H15" s="165"/>
      <c r="I15" s="73"/>
      <c r="J15" s="23"/>
    </row>
    <row r="16" spans="1:19" x14ac:dyDescent="0.25">
      <c r="B16" s="12"/>
      <c r="C16" s="18" t="s">
        <v>43</v>
      </c>
      <c r="D16" s="163">
        <f>'March 2020'!G16</f>
        <v>-139.3400000000002</v>
      </c>
      <c r="E16" s="166"/>
      <c r="F16" s="154"/>
      <c r="G16" s="181">
        <f t="shared" si="0"/>
        <v>-139.3400000000002</v>
      </c>
      <c r="H16" s="165"/>
      <c r="I16" s="73"/>
      <c r="J16" s="73"/>
      <c r="Q16" s="23"/>
    </row>
    <row r="17" spans="2:17" x14ac:dyDescent="0.25">
      <c r="B17" s="777" t="s">
        <v>53</v>
      </c>
      <c r="C17" s="778"/>
      <c r="D17" s="141">
        <f>SUM(D18:D21)</f>
        <v>-15125.78</v>
      </c>
      <c r="E17" s="168">
        <f>SUM(E18:E21)</f>
        <v>0</v>
      </c>
      <c r="F17" s="107">
        <f>SUM(F18:F21)</f>
        <v>6731.95</v>
      </c>
      <c r="G17" s="108">
        <f>SUM(G21,G20,G19,G18)</f>
        <v>-21857.730000000003</v>
      </c>
      <c r="H17" s="169"/>
      <c r="I17" s="73"/>
      <c r="J17" s="73"/>
      <c r="Q17" s="23"/>
    </row>
    <row r="18" spans="2:17" x14ac:dyDescent="0.25">
      <c r="B18" s="13"/>
      <c r="C18" s="40" t="s">
        <v>9</v>
      </c>
      <c r="D18" s="140">
        <f>'March 2020'!G18</f>
        <v>-8860.77</v>
      </c>
      <c r="E18" s="150"/>
      <c r="F18" s="134">
        <v>4764.49</v>
      </c>
      <c r="G18" s="137">
        <f>D18+E18-F18</f>
        <v>-13625.26</v>
      </c>
      <c r="H18" s="166"/>
      <c r="I18" s="73"/>
      <c r="J18" s="23"/>
      <c r="K18" s="4"/>
    </row>
    <row r="19" spans="2:17" x14ac:dyDescent="0.25">
      <c r="B19" s="12"/>
      <c r="C19" s="55" t="s">
        <v>8</v>
      </c>
      <c r="D19" s="140">
        <f>'March 2020'!G19</f>
        <v>-4612.83</v>
      </c>
      <c r="E19" s="167"/>
      <c r="F19" s="152">
        <v>1032.0999999999999</v>
      </c>
      <c r="G19" s="137">
        <f>D19+E19-F19</f>
        <v>-5644.93</v>
      </c>
      <c r="H19" s="170"/>
      <c r="I19" s="73"/>
      <c r="J19" s="23"/>
    </row>
    <row r="20" spans="2:17" x14ac:dyDescent="0.25">
      <c r="B20" s="12"/>
      <c r="C20" s="55" t="s">
        <v>32</v>
      </c>
      <c r="D20" s="140">
        <f>'March 2020'!G20</f>
        <v>-497.2</v>
      </c>
      <c r="E20" s="167"/>
      <c r="F20" s="152"/>
      <c r="G20" s="137">
        <f t="shared" ref="G20:G21" si="1">D20+E20-F20</f>
        <v>-497.2</v>
      </c>
      <c r="H20" s="171"/>
      <c r="I20" s="73"/>
      <c r="J20" s="23"/>
    </row>
    <row r="21" spans="2:17" x14ac:dyDescent="0.25">
      <c r="B21" s="10"/>
      <c r="C21" s="41" t="s">
        <v>38</v>
      </c>
      <c r="D21" s="140">
        <f>'March 2020'!G21</f>
        <v>-1154.98</v>
      </c>
      <c r="E21" s="151"/>
      <c r="F21" s="134">
        <v>935.36</v>
      </c>
      <c r="G21" s="137">
        <f t="shared" si="1"/>
        <v>-2090.34</v>
      </c>
      <c r="H21" s="166"/>
      <c r="I21" s="73"/>
      <c r="J21" s="23"/>
      <c r="K21" s="4"/>
    </row>
    <row r="22" spans="2:17" x14ac:dyDescent="0.25">
      <c r="B22" s="775" t="s">
        <v>10</v>
      </c>
      <c r="C22" s="776"/>
      <c r="D22" s="141">
        <f>SUM(D23:D27)</f>
        <v>168533.05000000002</v>
      </c>
      <c r="E22" s="172">
        <f>SUM(E23:E27)</f>
        <v>450</v>
      </c>
      <c r="F22" s="111">
        <f>SUM(F23:F27)</f>
        <v>7576.5199999999995</v>
      </c>
      <c r="G22" s="111">
        <f>SUM(G23:G27)</f>
        <v>161406.53</v>
      </c>
      <c r="H22" s="173">
        <f>SUM(H27:H31)</f>
        <v>0</v>
      </c>
      <c r="I22" s="73"/>
      <c r="J22" s="73"/>
      <c r="Q22" s="23"/>
    </row>
    <row r="23" spans="2:17" x14ac:dyDescent="0.25">
      <c r="B23" s="13"/>
      <c r="C23" s="37" t="s">
        <v>55</v>
      </c>
      <c r="D23" s="140">
        <f>'March 2020'!G23</f>
        <v>18710</v>
      </c>
      <c r="E23" s="150"/>
      <c r="F23" s="150"/>
      <c r="G23" s="121">
        <f>D23+E23-F23</f>
        <v>18710</v>
      </c>
      <c r="H23" s="139"/>
      <c r="I23" s="73"/>
      <c r="J23" s="23"/>
      <c r="K23" s="5"/>
    </row>
    <row r="24" spans="2:17" x14ac:dyDescent="0.25">
      <c r="B24" s="11"/>
      <c r="C24" s="19" t="s">
        <v>34</v>
      </c>
      <c r="D24" s="140">
        <f>'March 2020'!G24</f>
        <v>47573.770000000004</v>
      </c>
      <c r="E24" s="151"/>
      <c r="F24" s="182">
        <v>7547.29</v>
      </c>
      <c r="G24" s="121">
        <f t="shared" ref="G24:G27" si="2">D24+E24-F24</f>
        <v>40026.480000000003</v>
      </c>
      <c r="H24" s="166"/>
      <c r="I24" s="74"/>
      <c r="J24" s="23"/>
      <c r="K24" s="23"/>
    </row>
    <row r="25" spans="2:17" x14ac:dyDescent="0.25">
      <c r="B25" s="11"/>
      <c r="C25" s="19" t="s">
        <v>39</v>
      </c>
      <c r="D25" s="140">
        <f>'March 2020'!G25</f>
        <v>102500</v>
      </c>
      <c r="E25" s="151"/>
      <c r="F25" s="151"/>
      <c r="G25" s="121">
        <f t="shared" si="2"/>
        <v>102500</v>
      </c>
      <c r="H25" s="166"/>
      <c r="I25" s="74"/>
      <c r="J25" s="23"/>
      <c r="K25" s="23"/>
    </row>
    <row r="26" spans="2:17" x14ac:dyDescent="0.25">
      <c r="B26" s="11"/>
      <c r="C26" s="19" t="s">
        <v>49</v>
      </c>
      <c r="D26" s="140">
        <f>'March 2020'!G26</f>
        <v>0</v>
      </c>
      <c r="E26" s="151"/>
      <c r="F26" s="151"/>
      <c r="G26" s="150">
        <f t="shared" si="2"/>
        <v>0</v>
      </c>
      <c r="H26" s="166"/>
      <c r="I26" s="74"/>
      <c r="J26" s="23"/>
      <c r="K26" s="23"/>
    </row>
    <row r="27" spans="2:17" x14ac:dyDescent="0.25">
      <c r="B27" s="10"/>
      <c r="C27" s="18" t="s">
        <v>44</v>
      </c>
      <c r="D27" s="140">
        <f>'March 2020'!G27</f>
        <v>-250.72</v>
      </c>
      <c r="E27" s="151">
        <v>450</v>
      </c>
      <c r="F27" s="151">
        <v>29.23</v>
      </c>
      <c r="G27" s="121">
        <f t="shared" si="2"/>
        <v>170.05</v>
      </c>
      <c r="H27" s="166"/>
      <c r="I27" s="73"/>
      <c r="J27" s="23"/>
      <c r="K27" s="5"/>
    </row>
    <row r="28" spans="2:17" x14ac:dyDescent="0.25">
      <c r="B28" s="775" t="s">
        <v>35</v>
      </c>
      <c r="C28" s="776"/>
      <c r="D28" s="141">
        <f>SUM(D29:D32)</f>
        <v>41145.08</v>
      </c>
      <c r="E28" s="172">
        <f>SUM(E29:E32)</f>
        <v>0</v>
      </c>
      <c r="F28" s="172">
        <f>SUM(F29:F32)</f>
        <v>240.08</v>
      </c>
      <c r="G28" s="111">
        <f>SUM(G29:G32)</f>
        <v>40905</v>
      </c>
      <c r="H28" s="173">
        <f t="shared" ref="H28" si="3">SUM(H29:H31)</f>
        <v>0</v>
      </c>
      <c r="I28" s="73"/>
      <c r="J28" s="73"/>
      <c r="Q28" s="23"/>
    </row>
    <row r="29" spans="2:17" x14ac:dyDescent="0.25">
      <c r="B29" s="10"/>
      <c r="C29" s="18" t="s">
        <v>48</v>
      </c>
      <c r="D29" s="140">
        <f>'March 2020'!G29</f>
        <v>27477.38</v>
      </c>
      <c r="E29" s="174"/>
      <c r="F29" s="183">
        <v>58.46</v>
      </c>
      <c r="G29" s="119">
        <f t="shared" ref="G29:G32" si="4">D29+E29-F29</f>
        <v>27418.920000000002</v>
      </c>
      <c r="H29" s="166"/>
      <c r="I29" s="73"/>
      <c r="J29" s="23"/>
      <c r="K29" s="5"/>
    </row>
    <row r="30" spans="2:17" x14ac:dyDescent="0.25">
      <c r="B30" s="10"/>
      <c r="C30" s="20" t="s">
        <v>45</v>
      </c>
      <c r="D30" s="140">
        <f>'March 2020'!G30</f>
        <v>13667.699999999999</v>
      </c>
      <c r="E30" s="174"/>
      <c r="F30" s="134">
        <v>181.62</v>
      </c>
      <c r="G30" s="119">
        <f t="shared" si="4"/>
        <v>13486.079999999998</v>
      </c>
      <c r="H30" s="166"/>
      <c r="I30" s="73"/>
      <c r="J30" s="93"/>
      <c r="K30" s="3"/>
      <c r="Q30" s="148"/>
    </row>
    <row r="31" spans="2:17" x14ac:dyDescent="0.25">
      <c r="B31" s="10"/>
      <c r="C31" s="21" t="s">
        <v>33</v>
      </c>
      <c r="D31" s="140">
        <f>'March 2020'!G31</f>
        <v>0</v>
      </c>
      <c r="E31" s="174"/>
      <c r="F31" s="151"/>
      <c r="G31" s="134">
        <f t="shared" si="4"/>
        <v>0</v>
      </c>
      <c r="H31" s="166"/>
      <c r="I31" s="73"/>
      <c r="J31" s="23"/>
      <c r="K31" s="4"/>
      <c r="Q31" s="149"/>
    </row>
    <row r="32" spans="2:17" ht="15.75" thickBot="1" x14ac:dyDescent="0.3">
      <c r="C32" s="104" t="s">
        <v>47</v>
      </c>
      <c r="D32" s="140">
        <f>'March 2020'!G32</f>
        <v>0</v>
      </c>
      <c r="E32" s="174"/>
      <c r="F32" s="151"/>
      <c r="G32" s="151">
        <f t="shared" si="4"/>
        <v>0</v>
      </c>
      <c r="H32" s="166"/>
      <c r="I32" s="73"/>
      <c r="J32" s="23"/>
      <c r="K32" s="4"/>
      <c r="Q32" s="149"/>
    </row>
    <row r="33" spans="2:17" ht="15.75" thickBot="1" x14ac:dyDescent="0.3">
      <c r="B33" s="779" t="s">
        <v>11</v>
      </c>
      <c r="C33" s="766"/>
      <c r="D33" s="38">
        <f>D6+D17+D22+D28</f>
        <v>299089.91000000003</v>
      </c>
      <c r="E33" s="47">
        <f>SUM(E22,E17,E6,E28)</f>
        <v>6112.08</v>
      </c>
      <c r="F33" s="43">
        <f>SUM(F22,F17,F6,F28)</f>
        <v>15933.779999999999</v>
      </c>
      <c r="G33" s="44">
        <f>SUM(G22,G17,G6,G28)</f>
        <v>289268.20999999996</v>
      </c>
      <c r="H33" s="78">
        <f>SUM(H6,H16,H22,H28)</f>
        <v>0</v>
      </c>
      <c r="I33" s="23"/>
      <c r="J33" s="23"/>
      <c r="K33" s="6"/>
    </row>
    <row r="34" spans="2:17" hidden="1" x14ac:dyDescent="0.25">
      <c r="B34" s="180"/>
      <c r="C34" s="177"/>
      <c r="D34" s="23">
        <f>SUM(D17:D21)</f>
        <v>-30251.560000000005</v>
      </c>
      <c r="E34" s="23"/>
      <c r="F34" s="23"/>
      <c r="G34" s="23"/>
      <c r="H34" s="49"/>
      <c r="I34" s="23"/>
      <c r="L34" t="s">
        <v>12</v>
      </c>
      <c r="M34">
        <v>42.43</v>
      </c>
    </row>
    <row r="35" spans="2:17" ht="15.75" hidden="1" thickBot="1" x14ac:dyDescent="0.3">
      <c r="B35" s="9" t="s">
        <v>25</v>
      </c>
      <c r="C35" s="15"/>
      <c r="D35" s="33" t="e">
        <f>SUM(D33,#REF!)</f>
        <v>#REF!</v>
      </c>
      <c r="E35" s="34" t="e">
        <f>SUM(E33,#REF!)</f>
        <v>#REF!</v>
      </c>
      <c r="F35" s="34" t="e">
        <f>SUM(F33,#REF!)</f>
        <v>#REF!</v>
      </c>
      <c r="G35" s="35" t="e">
        <f>SUM(G33,#REF!)</f>
        <v>#REF!</v>
      </c>
      <c r="H35" s="49"/>
      <c r="I35" s="23"/>
      <c r="J35" s="6"/>
      <c r="K35" s="4">
        <v>206730.35</v>
      </c>
    </row>
    <row r="36" spans="2:17" ht="15.75" thickBot="1" x14ac:dyDescent="0.3">
      <c r="C36" s="7"/>
      <c r="D36" s="23"/>
      <c r="E36" s="23"/>
      <c r="F36" s="23"/>
      <c r="G36" s="23"/>
      <c r="H36" s="49"/>
      <c r="I36" s="64"/>
      <c r="J36" s="6"/>
      <c r="K36" s="4"/>
      <c r="Q36" s="23"/>
    </row>
    <row r="37" spans="2:17" ht="15.75" thickBot="1" x14ac:dyDescent="0.3">
      <c r="B37" s="780" t="s">
        <v>13</v>
      </c>
      <c r="C37" s="781"/>
      <c r="D37" s="31" t="s">
        <v>2</v>
      </c>
      <c r="E37" s="31" t="s">
        <v>3</v>
      </c>
      <c r="F37" s="31" t="s">
        <v>24</v>
      </c>
      <c r="G37" s="31" t="s">
        <v>27</v>
      </c>
      <c r="H37" s="31" t="s">
        <v>5</v>
      </c>
      <c r="I37" s="50"/>
      <c r="J37" s="6"/>
      <c r="K37" s="8"/>
    </row>
    <row r="38" spans="2:17" ht="15.75" thickBot="1" x14ac:dyDescent="0.3">
      <c r="B38" s="769" t="s">
        <v>14</v>
      </c>
      <c r="C38" s="770"/>
      <c r="D38" s="161">
        <f>'March 2020'!H38</f>
        <v>222.81</v>
      </c>
      <c r="E38" s="162"/>
      <c r="F38" s="162"/>
      <c r="G38" s="162">
        <v>9.84</v>
      </c>
      <c r="H38" s="114">
        <f t="shared" ref="H38:H40" si="5">D38+E38+F38-G38</f>
        <v>212.97</v>
      </c>
      <c r="I38" s="23"/>
      <c r="K38" s="6"/>
      <c r="L38" s="4"/>
    </row>
    <row r="39" spans="2:17" ht="15.75" thickBot="1" x14ac:dyDescent="0.3">
      <c r="B39" s="782" t="s">
        <v>15</v>
      </c>
      <c r="C39" s="783"/>
      <c r="D39" s="161">
        <f>'March 2020'!H39</f>
        <v>27052.640000000007</v>
      </c>
      <c r="E39" s="115"/>
      <c r="F39" s="115"/>
      <c r="G39" s="115">
        <v>19228.2</v>
      </c>
      <c r="H39" s="155">
        <f>D39+E39+F39-G39</f>
        <v>7824.440000000006</v>
      </c>
      <c r="I39" s="23"/>
      <c r="J39" s="65"/>
      <c r="K39" s="6"/>
    </row>
    <row r="40" spans="2:17" ht="15.75" thickBot="1" x14ac:dyDescent="0.3">
      <c r="B40" s="14"/>
      <c r="C40" s="16" t="s">
        <v>21</v>
      </c>
      <c r="D40" s="161">
        <f>'March 2020'!H40</f>
        <v>0</v>
      </c>
      <c r="E40" s="56"/>
      <c r="F40" s="56"/>
      <c r="G40" s="56"/>
      <c r="H40" s="156">
        <f t="shared" si="5"/>
        <v>0</v>
      </c>
      <c r="I40" s="23"/>
      <c r="J40" s="65"/>
      <c r="K40" s="4"/>
    </row>
    <row r="41" spans="2:17" ht="15.75" thickBot="1" x14ac:dyDescent="0.3">
      <c r="B41" s="14"/>
      <c r="C41" s="16" t="s">
        <v>40</v>
      </c>
      <c r="D41" s="161">
        <f>'March 2020'!H41</f>
        <v>-3076.4700000000007</v>
      </c>
      <c r="E41" s="56">
        <v>2849.1</v>
      </c>
      <c r="F41" s="56"/>
      <c r="G41" s="160">
        <v>1514.22</v>
      </c>
      <c r="H41" s="157">
        <f>D41+E41+F41-G41</f>
        <v>-1741.5900000000008</v>
      </c>
      <c r="I41" s="23"/>
      <c r="J41" s="4"/>
      <c r="K41" s="4"/>
    </row>
    <row r="42" spans="2:17" ht="15.75" thickBot="1" x14ac:dyDescent="0.3">
      <c r="B42" s="769" t="s">
        <v>16</v>
      </c>
      <c r="C42" s="770"/>
      <c r="D42" s="161">
        <f>'March 2020'!H42</f>
        <v>116987.73000000007</v>
      </c>
      <c r="E42" s="61">
        <v>8141.97</v>
      </c>
      <c r="F42" s="61"/>
      <c r="G42" s="61"/>
      <c r="H42" s="158">
        <f>D42+E42-F42-G42</f>
        <v>125129.70000000007</v>
      </c>
      <c r="I42" s="23"/>
      <c r="J42" s="4"/>
      <c r="K42" s="4"/>
    </row>
    <row r="43" spans="2:17" ht="15.75" thickBot="1" x14ac:dyDescent="0.3">
      <c r="B43" s="80" t="s">
        <v>46</v>
      </c>
      <c r="C43" s="81"/>
      <c r="D43" s="161">
        <f>'March 2020'!H43</f>
        <v>157903.24</v>
      </c>
      <c r="E43" s="28">
        <v>48.66</v>
      </c>
      <c r="F43" s="28"/>
      <c r="G43" s="28">
        <v>1000</v>
      </c>
      <c r="H43" s="159">
        <f>D43+E43+F43-G43</f>
        <v>156951.9</v>
      </c>
      <c r="I43" s="23"/>
      <c r="J43" s="4"/>
      <c r="K43" s="4"/>
    </row>
    <row r="44" spans="2:17" ht="15.75" thickBot="1" x14ac:dyDescent="0.3">
      <c r="B44" s="765"/>
      <c r="C44" s="766"/>
      <c r="D44" s="29">
        <f>SUM(D38+D39+D42+D43+D41)</f>
        <v>299089.95000000007</v>
      </c>
      <c r="E44" s="46">
        <f>SUM(E38:E43)</f>
        <v>11039.73</v>
      </c>
      <c r="F44" s="30">
        <f>SUM(F39:F43)</f>
        <v>0</v>
      </c>
      <c r="G44" s="42">
        <f>SUM(G38:G43)</f>
        <v>21752.260000000002</v>
      </c>
      <c r="H44" s="45">
        <f>SUM(H38+H39+H42+H40+H43+H41)</f>
        <v>288377.42000000004</v>
      </c>
      <c r="I44" s="23"/>
      <c r="J44" s="6"/>
      <c r="K44" s="4"/>
      <c r="L44" s="3"/>
    </row>
    <row r="45" spans="2:17" x14ac:dyDescent="0.25">
      <c r="B45" s="180"/>
      <c r="C45" s="177"/>
      <c r="D45" s="23">
        <f>D33-D44</f>
        <v>-4.0000000037252903E-2</v>
      </c>
      <c r="E45" s="23"/>
      <c r="F45" s="23"/>
      <c r="G45" s="23"/>
      <c r="H45" s="23">
        <f>G33-H44</f>
        <v>890.78999999992084</v>
      </c>
      <c r="I45" s="23"/>
      <c r="J45" s="6"/>
      <c r="K45" s="6"/>
      <c r="L45" s="3"/>
    </row>
    <row r="46" spans="2:17" x14ac:dyDescent="0.25">
      <c r="C46" s="7"/>
      <c r="D46" s="23"/>
      <c r="E46" s="23"/>
      <c r="F46" s="23"/>
      <c r="G46" s="23"/>
      <c r="H46" s="23"/>
      <c r="I46" s="23"/>
      <c r="J46" s="6"/>
    </row>
    <row r="47" spans="2:17" ht="15.75" x14ac:dyDescent="0.25">
      <c r="B47" s="767" t="s">
        <v>17</v>
      </c>
      <c r="C47" s="767"/>
      <c r="D47" s="767"/>
      <c r="E47" s="767"/>
      <c r="F47" s="768" t="s">
        <v>18</v>
      </c>
      <c r="G47" s="768"/>
      <c r="H47" s="23"/>
      <c r="I47" s="23"/>
      <c r="K47" s="6"/>
    </row>
    <row r="48" spans="2:17" ht="15.75" x14ac:dyDescent="0.25">
      <c r="B48" s="175"/>
      <c r="C48" s="175"/>
      <c r="D48" s="176"/>
      <c r="E48" s="176"/>
      <c r="F48" s="176"/>
      <c r="G48" s="176"/>
      <c r="H48" s="23"/>
      <c r="I48" s="23"/>
    </row>
    <row r="49" spans="2:17" ht="15.75" x14ac:dyDescent="0.25">
      <c r="B49" s="767" t="s">
        <v>19</v>
      </c>
      <c r="C49" s="767"/>
      <c r="D49" s="767"/>
      <c r="E49" s="767"/>
      <c r="F49" s="768" t="s">
        <v>18</v>
      </c>
      <c r="G49" s="768"/>
      <c r="H49" s="23"/>
      <c r="I49" s="23"/>
    </row>
    <row r="50" spans="2:17" x14ac:dyDescent="0.25">
      <c r="B50" s="180"/>
      <c r="C50" s="177"/>
      <c r="D50" s="3"/>
      <c r="E50" s="3"/>
      <c r="F50" s="3"/>
      <c r="G50" s="4"/>
      <c r="H50" s="3"/>
      <c r="I50" s="3"/>
      <c r="J50" s="6"/>
      <c r="K50" s="4"/>
      <c r="Q50" s="17"/>
    </row>
    <row r="51" spans="2:17" x14ac:dyDescent="0.25">
      <c r="C51" s="7"/>
      <c r="D51" s="6"/>
      <c r="E51" s="6"/>
      <c r="F51" s="6"/>
      <c r="G51" s="6"/>
      <c r="J51" s="6"/>
      <c r="K51" s="8"/>
      <c r="M51" s="3"/>
      <c r="Q51" s="17"/>
    </row>
    <row r="52" spans="2:17" x14ac:dyDescent="0.25">
      <c r="C52" s="7"/>
      <c r="D52" s="4"/>
      <c r="E52" s="6"/>
      <c r="G52" s="6"/>
      <c r="K52" s="6"/>
    </row>
  </sheetData>
  <mergeCells count="17">
    <mergeCell ref="B44:C44"/>
    <mergeCell ref="B47:E47"/>
    <mergeCell ref="F47:G47"/>
    <mergeCell ref="B49:E49"/>
    <mergeCell ref="F49:G49"/>
    <mergeCell ref="B42:C42"/>
    <mergeCell ref="B2:H2"/>
    <mergeCell ref="B3:H3"/>
    <mergeCell ref="B5:C5"/>
    <mergeCell ref="B6:C6"/>
    <mergeCell ref="B17:C17"/>
    <mergeCell ref="B22:C22"/>
    <mergeCell ref="B28:C28"/>
    <mergeCell ref="B33:C33"/>
    <mergeCell ref="B37:C37"/>
    <mergeCell ref="B38:C38"/>
    <mergeCell ref="B39:C39"/>
  </mergeCells>
  <pageMargins left="0.7" right="0.7" top="0.75" bottom="0.75" header="0.3" footer="0.3"/>
  <pageSetup scale="82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7F396-C58C-43F0-9562-E25167DC7EDF}">
  <dimension ref="A1:S52"/>
  <sheetViews>
    <sheetView topLeftCell="A22" zoomScale="90" zoomScaleNormal="90" workbookViewId="0">
      <selection activeCell="F7" sqref="F7"/>
    </sheetView>
  </sheetViews>
  <sheetFormatPr defaultColWidth="9.140625" defaultRowHeight="15" x14ac:dyDescent="0.25"/>
  <cols>
    <col min="1" max="1" width="3" customWidth="1"/>
    <col min="2" max="2" width="5.7109375" customWidth="1"/>
    <col min="3" max="3" width="33.85546875" bestFit="1" customWidth="1"/>
    <col min="4" max="4" width="13.85546875" customWidth="1"/>
    <col min="5" max="5" width="12.5703125" customWidth="1"/>
    <col min="6" max="6" width="15.28515625" customWidth="1"/>
    <col min="7" max="8" width="12.5703125" customWidth="1"/>
    <col min="9" max="9" width="30.28515625" bestFit="1" customWidth="1"/>
    <col min="10" max="10" width="15.85546875" bestFit="1" customWidth="1"/>
    <col min="11" max="11" width="14.5703125" customWidth="1"/>
    <col min="12" max="12" width="11.28515625" customWidth="1"/>
    <col min="17" max="17" width="13" customWidth="1"/>
  </cols>
  <sheetData>
    <row r="1" spans="1:19" hidden="1" x14ac:dyDescent="0.25"/>
    <row r="2" spans="1:19" ht="21" x14ac:dyDescent="0.35">
      <c r="B2" s="771" t="s">
        <v>0</v>
      </c>
      <c r="C2" s="771"/>
      <c r="D2" s="771"/>
      <c r="E2" s="771"/>
      <c r="F2" s="771"/>
      <c r="G2" s="771"/>
      <c r="H2" s="771"/>
      <c r="I2" s="189"/>
    </row>
    <row r="3" spans="1:19" ht="18.75" x14ac:dyDescent="0.3">
      <c r="B3" s="772" t="s">
        <v>63</v>
      </c>
      <c r="C3" s="772"/>
      <c r="D3" s="772"/>
      <c r="E3" s="772"/>
      <c r="F3" s="772"/>
      <c r="G3" s="772"/>
      <c r="H3" s="772"/>
      <c r="I3" s="190"/>
    </row>
    <row r="4" spans="1:19" ht="15.75" thickBot="1" x14ac:dyDescent="0.3">
      <c r="B4" s="1"/>
      <c r="C4" s="51" t="s">
        <v>37</v>
      </c>
      <c r="D4" s="1"/>
      <c r="E4" s="1"/>
      <c r="F4" s="1"/>
      <c r="G4" s="2"/>
      <c r="J4" s="88"/>
    </row>
    <row r="5" spans="1:19" x14ac:dyDescent="0.25">
      <c r="B5" s="773" t="s">
        <v>1</v>
      </c>
      <c r="C5" s="774"/>
      <c r="D5" s="24" t="s">
        <v>2</v>
      </c>
      <c r="E5" s="24" t="s">
        <v>3</v>
      </c>
      <c r="F5" s="24" t="s">
        <v>58</v>
      </c>
      <c r="G5" s="24" t="s">
        <v>5</v>
      </c>
      <c r="H5" s="24" t="s">
        <v>6</v>
      </c>
      <c r="I5" s="50"/>
      <c r="J5" s="50"/>
    </row>
    <row r="6" spans="1:19" x14ac:dyDescent="0.25">
      <c r="B6" s="775" t="s">
        <v>7</v>
      </c>
      <c r="C6" s="776"/>
      <c r="D6" s="25">
        <f>SUM(D7:D16)</f>
        <v>108814.41</v>
      </c>
      <c r="E6" s="62">
        <f>SUM(E7:E16)</f>
        <v>705.36</v>
      </c>
      <c r="F6" s="62">
        <f>SUM(F7:F16)</f>
        <v>2101.06</v>
      </c>
      <c r="G6" s="62">
        <f>SUM(G7:G16)</f>
        <v>107418.71</v>
      </c>
      <c r="H6" s="63">
        <f>SUM(H7:H15)</f>
        <v>0</v>
      </c>
      <c r="I6" s="73"/>
      <c r="J6" s="73"/>
      <c r="K6" s="73"/>
      <c r="L6" s="23"/>
      <c r="Q6" s="23"/>
      <c r="S6" s="23"/>
    </row>
    <row r="7" spans="1:19" ht="15.75" customHeight="1" x14ac:dyDescent="0.25">
      <c r="B7" s="11"/>
      <c r="C7" s="22" t="s">
        <v>23</v>
      </c>
      <c r="D7" s="163">
        <f>'April 2020'!G7</f>
        <v>103751.16</v>
      </c>
      <c r="E7" s="67">
        <v>128.74</v>
      </c>
      <c r="F7" s="139">
        <f>236.65+657.68+1236.65-5456.55</f>
        <v>-3325.57</v>
      </c>
      <c r="G7" s="164">
        <f>D7+E7-F7</f>
        <v>107205.47000000002</v>
      </c>
      <c r="H7" s="165"/>
      <c r="I7" s="125"/>
      <c r="J7" s="23"/>
    </row>
    <row r="8" spans="1:19" x14ac:dyDescent="0.25">
      <c r="B8" s="12"/>
      <c r="C8" s="52" t="s">
        <v>62</v>
      </c>
      <c r="D8" s="163">
        <f>'April 2020'!G8</f>
        <v>-233.84</v>
      </c>
      <c r="E8" s="166"/>
      <c r="F8" s="166">
        <v>1013.35</v>
      </c>
      <c r="G8" s="184">
        <f t="shared" ref="G8:G16" si="0">D8+E8-F8</f>
        <v>-1247.19</v>
      </c>
      <c r="H8" s="165"/>
      <c r="I8" s="73"/>
      <c r="J8" s="149"/>
    </row>
    <row r="9" spans="1:19" hidden="1" x14ac:dyDescent="0.25">
      <c r="B9" s="12"/>
      <c r="C9" s="53" t="s">
        <v>31</v>
      </c>
      <c r="D9" s="163">
        <f>'April 2020'!G9</f>
        <v>0</v>
      </c>
      <c r="E9" s="166"/>
      <c r="F9" s="166"/>
      <c r="G9" s="164">
        <f t="shared" si="0"/>
        <v>0</v>
      </c>
      <c r="H9" s="165"/>
      <c r="I9" s="73"/>
      <c r="J9" s="71">
        <v>3231.47</v>
      </c>
      <c r="K9" s="23"/>
    </row>
    <row r="10" spans="1:19" x14ac:dyDescent="0.25">
      <c r="B10" s="12"/>
      <c r="C10" s="53" t="s">
        <v>41</v>
      </c>
      <c r="D10" s="163">
        <f>'April 2020'!G10</f>
        <v>-1698.75</v>
      </c>
      <c r="E10" s="152"/>
      <c r="F10" s="152">
        <v>789.21</v>
      </c>
      <c r="G10" s="108">
        <f t="shared" si="0"/>
        <v>-2487.96</v>
      </c>
      <c r="H10" s="165"/>
      <c r="I10" s="73"/>
      <c r="J10" s="93"/>
      <c r="K10" s="23"/>
    </row>
    <row r="11" spans="1:19" hidden="1" x14ac:dyDescent="0.25">
      <c r="B11" s="12"/>
      <c r="C11" s="53" t="s">
        <v>29</v>
      </c>
      <c r="D11" s="163">
        <f>'April 2020'!G11</f>
        <v>0</v>
      </c>
      <c r="E11" s="70"/>
      <c r="F11" s="70"/>
      <c r="G11" s="164">
        <f t="shared" si="0"/>
        <v>0</v>
      </c>
      <c r="H11" s="165"/>
      <c r="I11" s="73"/>
      <c r="J11" s="93"/>
    </row>
    <row r="12" spans="1:19" x14ac:dyDescent="0.25">
      <c r="B12" s="12"/>
      <c r="C12" s="53" t="s">
        <v>20</v>
      </c>
      <c r="D12" s="163">
        <f>'April 2020'!G12</f>
        <v>8277.7099999999991</v>
      </c>
      <c r="E12" s="152">
        <f>467.86+33.68</f>
        <v>501.54</v>
      </c>
      <c r="F12" s="152">
        <f>3538.46</f>
        <v>3538.46</v>
      </c>
      <c r="G12" s="181">
        <f t="shared" si="0"/>
        <v>5240.79</v>
      </c>
      <c r="H12" s="165"/>
      <c r="I12" s="73"/>
      <c r="J12" s="23"/>
    </row>
    <row r="13" spans="1:19" x14ac:dyDescent="0.25">
      <c r="B13" s="12"/>
      <c r="C13" s="53" t="s">
        <v>22</v>
      </c>
      <c r="D13" s="163">
        <f>'April 2020'!G13</f>
        <v>333.29999999999995</v>
      </c>
      <c r="E13" s="152">
        <v>75.08</v>
      </c>
      <c r="F13" s="167"/>
      <c r="G13" s="181">
        <f t="shared" si="0"/>
        <v>408.37999999999994</v>
      </c>
      <c r="H13" s="165"/>
      <c r="I13" s="73"/>
      <c r="J13" s="23"/>
    </row>
    <row r="14" spans="1:19" x14ac:dyDescent="0.25">
      <c r="B14" s="12"/>
      <c r="C14" s="53" t="s">
        <v>28</v>
      </c>
      <c r="D14" s="163">
        <f>'April 2020'!G14</f>
        <v>-1510.4900000000002</v>
      </c>
      <c r="E14" s="167"/>
      <c r="F14" s="152"/>
      <c r="G14" s="108">
        <f t="shared" si="0"/>
        <v>-1510.4900000000002</v>
      </c>
      <c r="H14" s="165"/>
      <c r="I14" s="73"/>
      <c r="J14" s="23"/>
    </row>
    <row r="15" spans="1:19" x14ac:dyDescent="0.25">
      <c r="A15" t="s">
        <v>26</v>
      </c>
      <c r="B15" s="12"/>
      <c r="C15" s="18" t="s">
        <v>42</v>
      </c>
      <c r="D15" s="163">
        <f>'April 2020'!G15</f>
        <v>34.660000000000025</v>
      </c>
      <c r="E15" s="166"/>
      <c r="F15" s="166"/>
      <c r="G15" s="153">
        <f t="shared" si="0"/>
        <v>34.660000000000025</v>
      </c>
      <c r="H15" s="165"/>
      <c r="I15" s="73"/>
      <c r="J15" s="23"/>
    </row>
    <row r="16" spans="1:19" x14ac:dyDescent="0.25">
      <c r="B16" s="12"/>
      <c r="C16" s="18" t="s">
        <v>43</v>
      </c>
      <c r="D16" s="163">
        <f>'April 2020'!G16</f>
        <v>-139.3400000000002</v>
      </c>
      <c r="E16" s="166"/>
      <c r="F16" s="154">
        <v>85.61</v>
      </c>
      <c r="G16" s="181">
        <f t="shared" si="0"/>
        <v>-224.95000000000022</v>
      </c>
      <c r="H16" s="165"/>
      <c r="I16" s="73"/>
      <c r="J16" s="73"/>
      <c r="Q16" s="23"/>
    </row>
    <row r="17" spans="2:17" x14ac:dyDescent="0.25">
      <c r="B17" s="777" t="s">
        <v>53</v>
      </c>
      <c r="C17" s="778"/>
      <c r="D17" s="141">
        <f>SUM(D18:D21)</f>
        <v>-21857.730000000003</v>
      </c>
      <c r="E17" s="168">
        <f>SUM(E18:E21)</f>
        <v>0</v>
      </c>
      <c r="F17" s="107">
        <f>SUM(F18:F21)</f>
        <v>5544.0800000000008</v>
      </c>
      <c r="G17" s="108">
        <f>SUM(G21,G20,G19,G18)</f>
        <v>-27401.81</v>
      </c>
      <c r="H17" s="169"/>
      <c r="I17" s="73"/>
      <c r="J17" s="73"/>
      <c r="Q17" s="23"/>
    </row>
    <row r="18" spans="2:17" x14ac:dyDescent="0.25">
      <c r="B18" s="13"/>
      <c r="C18" s="40" t="s">
        <v>9</v>
      </c>
      <c r="D18" s="140">
        <f>'April 2020'!G18</f>
        <v>-13625.26</v>
      </c>
      <c r="E18" s="150"/>
      <c r="F18" s="134">
        <v>2616.09</v>
      </c>
      <c r="G18" s="137">
        <f>D18+E18-F18</f>
        <v>-16241.35</v>
      </c>
      <c r="H18" s="166"/>
      <c r="I18" s="73"/>
      <c r="J18" s="23"/>
      <c r="K18" s="4"/>
    </row>
    <row r="19" spans="2:17" x14ac:dyDescent="0.25">
      <c r="B19" s="12"/>
      <c r="C19" s="55" t="s">
        <v>8</v>
      </c>
      <c r="D19" s="140">
        <f>'April 2020'!G19</f>
        <v>-5644.93</v>
      </c>
      <c r="E19" s="167"/>
      <c r="F19" s="152">
        <f>951.38+62.04</f>
        <v>1013.42</v>
      </c>
      <c r="G19" s="137">
        <f>D19+E19-F19</f>
        <v>-6658.35</v>
      </c>
      <c r="H19" s="170"/>
      <c r="I19" s="73"/>
      <c r="J19" s="23"/>
    </row>
    <row r="20" spans="2:17" x14ac:dyDescent="0.25">
      <c r="B20" s="12"/>
      <c r="C20" s="55" t="s">
        <v>32</v>
      </c>
      <c r="D20" s="140">
        <f>'April 2020'!G20</f>
        <v>-497.2</v>
      </c>
      <c r="E20" s="167"/>
      <c r="F20" s="152">
        <v>891.52</v>
      </c>
      <c r="G20" s="137">
        <f t="shared" ref="G20:G21" si="1">D20+E20-F20</f>
        <v>-1388.72</v>
      </c>
      <c r="H20" s="171"/>
      <c r="I20" s="73"/>
      <c r="J20" s="23"/>
    </row>
    <row r="21" spans="2:17" x14ac:dyDescent="0.25">
      <c r="B21" s="10"/>
      <c r="C21" s="41" t="s">
        <v>38</v>
      </c>
      <c r="D21" s="140">
        <f>'April 2020'!G21</f>
        <v>-2090.34</v>
      </c>
      <c r="E21" s="151"/>
      <c r="F21" s="134">
        <v>1023.05</v>
      </c>
      <c r="G21" s="137">
        <f t="shared" si="1"/>
        <v>-3113.3900000000003</v>
      </c>
      <c r="H21" s="166"/>
      <c r="I21" s="73"/>
      <c r="J21" s="23"/>
      <c r="K21" s="4"/>
    </row>
    <row r="22" spans="2:17" x14ac:dyDescent="0.25">
      <c r="B22" s="775" t="s">
        <v>10</v>
      </c>
      <c r="C22" s="776"/>
      <c r="D22" s="141">
        <f>SUM(D23:D27)</f>
        <v>161406.53</v>
      </c>
      <c r="E22" s="172">
        <f>SUM(E23:E27)</f>
        <v>134492</v>
      </c>
      <c r="F22" s="111">
        <f>SUM(F23:F27)</f>
        <v>4743.43</v>
      </c>
      <c r="G22" s="111">
        <f>SUM(G23:G27)</f>
        <v>291155.09999999998</v>
      </c>
      <c r="H22" s="173">
        <f>SUM(H27:H31)</f>
        <v>0</v>
      </c>
      <c r="I22" s="73"/>
      <c r="J22" s="73"/>
      <c r="Q22" s="23"/>
    </row>
    <row r="23" spans="2:17" x14ac:dyDescent="0.25">
      <c r="B23" s="13"/>
      <c r="C23" s="37" t="s">
        <v>55</v>
      </c>
      <c r="D23" s="140">
        <f>'April 2020'!G23</f>
        <v>18710</v>
      </c>
      <c r="E23" s="150"/>
      <c r="F23" s="150"/>
      <c r="G23" s="121">
        <f>D23+E23-F23</f>
        <v>18710</v>
      </c>
      <c r="H23" s="139"/>
      <c r="I23" s="73"/>
      <c r="J23" s="23"/>
      <c r="K23" s="5"/>
    </row>
    <row r="24" spans="2:17" x14ac:dyDescent="0.25">
      <c r="B24" s="11"/>
      <c r="C24" s="19" t="s">
        <v>34</v>
      </c>
      <c r="D24" s="140">
        <f>'April 2020'!G24</f>
        <v>40026.480000000003</v>
      </c>
      <c r="E24" s="151"/>
      <c r="F24" s="182">
        <v>4743.43</v>
      </c>
      <c r="G24" s="121">
        <f t="shared" ref="G24:G27" si="2">D24+E24-F24</f>
        <v>35283.050000000003</v>
      </c>
      <c r="H24" s="166"/>
      <c r="I24" s="74"/>
      <c r="J24" s="23"/>
      <c r="K24" s="23"/>
    </row>
    <row r="25" spans="2:17" x14ac:dyDescent="0.25">
      <c r="B25" s="11"/>
      <c r="C25" s="19" t="s">
        <v>39</v>
      </c>
      <c r="D25" s="140">
        <f>'April 2020'!G25</f>
        <v>102500</v>
      </c>
      <c r="E25" s="151"/>
      <c r="F25" s="151"/>
      <c r="G25" s="121">
        <f t="shared" si="2"/>
        <v>102500</v>
      </c>
      <c r="H25" s="166"/>
      <c r="I25" s="74"/>
      <c r="J25" s="23"/>
      <c r="K25" s="23"/>
    </row>
    <row r="26" spans="2:17" x14ac:dyDescent="0.25">
      <c r="B26" s="11"/>
      <c r="C26" s="19" t="s">
        <v>65</v>
      </c>
      <c r="D26" s="140">
        <f>'April 2020'!G26</f>
        <v>0</v>
      </c>
      <c r="E26" s="151">
        <v>134492</v>
      </c>
      <c r="F26" s="151"/>
      <c r="G26" s="150">
        <f t="shared" si="2"/>
        <v>134492</v>
      </c>
      <c r="H26" s="166"/>
      <c r="I26" s="74"/>
      <c r="J26" s="23"/>
      <c r="K26" s="23"/>
    </row>
    <row r="27" spans="2:17" x14ac:dyDescent="0.25">
      <c r="B27" s="10"/>
      <c r="C27" s="18" t="s">
        <v>44</v>
      </c>
      <c r="D27" s="140">
        <f>'April 2020'!G27</f>
        <v>170.05</v>
      </c>
      <c r="E27" s="151"/>
      <c r="F27" s="151"/>
      <c r="G27" s="121">
        <f t="shared" si="2"/>
        <v>170.05</v>
      </c>
      <c r="H27" s="166"/>
      <c r="I27" s="73"/>
      <c r="J27" s="23"/>
      <c r="K27" s="5"/>
    </row>
    <row r="28" spans="2:17" x14ac:dyDescent="0.25">
      <c r="B28" s="775" t="s">
        <v>35</v>
      </c>
      <c r="C28" s="776"/>
      <c r="D28" s="141">
        <f>SUM(D29:D32)</f>
        <v>40905</v>
      </c>
      <c r="E28" s="172">
        <f>SUM(E29:E32)</f>
        <v>10000</v>
      </c>
      <c r="F28" s="172">
        <f>SUM(F29:F32)</f>
        <v>379.99</v>
      </c>
      <c r="G28" s="111">
        <f>SUM(G29:G32)</f>
        <v>50525.009999999995</v>
      </c>
      <c r="H28" s="173">
        <f t="shared" ref="H28" si="3">SUM(H29:H31)</f>
        <v>0</v>
      </c>
      <c r="I28" s="73"/>
      <c r="J28" s="73"/>
      <c r="Q28" s="23"/>
    </row>
    <row r="29" spans="2:17" x14ac:dyDescent="0.25">
      <c r="B29" s="10"/>
      <c r="C29" s="18" t="s">
        <v>48</v>
      </c>
      <c r="D29" s="140">
        <f>'April 2020'!G29</f>
        <v>27418.920000000002</v>
      </c>
      <c r="E29" s="174"/>
      <c r="F29" s="183">
        <v>379.99</v>
      </c>
      <c r="G29" s="119">
        <f t="shared" ref="G29:G32" si="4">D29+E29-F29</f>
        <v>27038.93</v>
      </c>
      <c r="H29" s="166"/>
      <c r="I29" s="73"/>
      <c r="J29" s="23"/>
      <c r="K29" s="5"/>
    </row>
    <row r="30" spans="2:17" x14ac:dyDescent="0.25">
      <c r="B30" s="10"/>
      <c r="C30" s="20" t="s">
        <v>64</v>
      </c>
      <c r="D30" s="140">
        <f>'April 2020'!G30</f>
        <v>13486.079999999998</v>
      </c>
      <c r="E30" s="174">
        <v>10000</v>
      </c>
      <c r="F30" s="134"/>
      <c r="G30" s="119">
        <f t="shared" si="4"/>
        <v>23486.079999999998</v>
      </c>
      <c r="H30" s="166"/>
      <c r="I30" s="73"/>
      <c r="J30" s="93"/>
      <c r="K30" s="3"/>
      <c r="Q30" s="148"/>
    </row>
    <row r="31" spans="2:17" x14ac:dyDescent="0.25">
      <c r="B31" s="10"/>
      <c r="C31" s="21" t="s">
        <v>33</v>
      </c>
      <c r="D31" s="140">
        <f>'April 2020'!G31</f>
        <v>0</v>
      </c>
      <c r="E31" s="174"/>
      <c r="F31" s="151"/>
      <c r="G31" s="134">
        <f t="shared" si="4"/>
        <v>0</v>
      </c>
      <c r="H31" s="166"/>
      <c r="I31" s="73"/>
      <c r="J31" s="23"/>
      <c r="K31" s="4"/>
      <c r="Q31" s="149"/>
    </row>
    <row r="32" spans="2:17" ht="15.75" thickBot="1" x14ac:dyDescent="0.3">
      <c r="C32" s="104" t="s">
        <v>47</v>
      </c>
      <c r="D32" s="140">
        <f>'April 2020'!G32</f>
        <v>0</v>
      </c>
      <c r="E32" s="174"/>
      <c r="F32" s="151"/>
      <c r="G32" s="151">
        <f t="shared" si="4"/>
        <v>0</v>
      </c>
      <c r="H32" s="166"/>
      <c r="I32" s="73"/>
      <c r="J32" s="23"/>
      <c r="K32" s="4"/>
      <c r="Q32" s="149"/>
    </row>
    <row r="33" spans="2:17" ht="15.75" thickBot="1" x14ac:dyDescent="0.3">
      <c r="B33" s="779" t="s">
        <v>11</v>
      </c>
      <c r="C33" s="766"/>
      <c r="D33" s="38">
        <f>D6+D17+D22+D28</f>
        <v>289268.20999999996</v>
      </c>
      <c r="E33" s="47">
        <f>SUM(E22,E17,E6,E28)</f>
        <v>145197.35999999999</v>
      </c>
      <c r="F33" s="43">
        <f>SUM(F22,F17,F6,F28)</f>
        <v>12768.560000000001</v>
      </c>
      <c r="G33" s="44">
        <f>SUM(G22,G17,G6,G28)</f>
        <v>421697.01</v>
      </c>
      <c r="H33" s="78">
        <f>SUM(H6,H16,H22,H28)</f>
        <v>0</v>
      </c>
      <c r="I33" s="23"/>
      <c r="J33" s="23"/>
      <c r="K33" s="6"/>
    </row>
    <row r="34" spans="2:17" hidden="1" x14ac:dyDescent="0.25">
      <c r="B34" s="188"/>
      <c r="C34" s="185"/>
      <c r="D34" s="23">
        <f>SUM(D17:D21)</f>
        <v>-43715.460000000006</v>
      </c>
      <c r="E34" s="23"/>
      <c r="F34" s="23"/>
      <c r="G34" s="23"/>
      <c r="H34" s="49"/>
      <c r="I34" s="23"/>
      <c r="L34" t="s">
        <v>12</v>
      </c>
      <c r="M34">
        <v>42.43</v>
      </c>
    </row>
    <row r="35" spans="2:17" ht="15.75" hidden="1" thickBot="1" x14ac:dyDescent="0.3">
      <c r="B35" s="9" t="s">
        <v>25</v>
      </c>
      <c r="C35" s="15"/>
      <c r="D35" s="33" t="e">
        <f>SUM(D33,#REF!)</f>
        <v>#REF!</v>
      </c>
      <c r="E35" s="34" t="e">
        <f>SUM(E33,#REF!)</f>
        <v>#REF!</v>
      </c>
      <c r="F35" s="34" t="e">
        <f>SUM(F33,#REF!)</f>
        <v>#REF!</v>
      </c>
      <c r="G35" s="35" t="e">
        <f>SUM(G33,#REF!)</f>
        <v>#REF!</v>
      </c>
      <c r="H35" s="49"/>
      <c r="I35" s="23"/>
      <c r="J35" s="6"/>
      <c r="K35" s="4">
        <v>206730.35</v>
      </c>
    </row>
    <row r="36" spans="2:17" ht="15.75" thickBot="1" x14ac:dyDescent="0.3">
      <c r="C36" s="7"/>
      <c r="D36" s="23"/>
      <c r="E36" s="23"/>
      <c r="F36" s="23"/>
      <c r="G36" s="23"/>
      <c r="H36" s="49"/>
      <c r="I36" s="64"/>
      <c r="J36" s="6"/>
      <c r="K36" s="4"/>
      <c r="Q36" s="23"/>
    </row>
    <row r="37" spans="2:17" ht="15.75" thickBot="1" x14ac:dyDescent="0.3">
      <c r="B37" s="780" t="s">
        <v>13</v>
      </c>
      <c r="C37" s="781"/>
      <c r="D37" s="31" t="s">
        <v>2</v>
      </c>
      <c r="E37" s="31" t="s">
        <v>3</v>
      </c>
      <c r="F37" s="31" t="s">
        <v>24</v>
      </c>
      <c r="G37" s="31" t="s">
        <v>27</v>
      </c>
      <c r="H37" s="31" t="s">
        <v>5</v>
      </c>
      <c r="I37" s="50"/>
      <c r="J37" s="6"/>
      <c r="K37" s="8"/>
    </row>
    <row r="38" spans="2:17" ht="15.75" thickBot="1" x14ac:dyDescent="0.3">
      <c r="B38" s="769" t="s">
        <v>14</v>
      </c>
      <c r="C38" s="770"/>
      <c r="D38" s="161">
        <f>'April 2020'!H38</f>
        <v>212.97</v>
      </c>
      <c r="E38" s="162">
        <v>109.2</v>
      </c>
      <c r="F38" s="162"/>
      <c r="G38" s="162">
        <v>235.53</v>
      </c>
      <c r="H38" s="114">
        <f t="shared" ref="H38:H40" si="5">D38+E38+F38-G38</f>
        <v>86.640000000000015</v>
      </c>
      <c r="I38" s="23"/>
      <c r="K38" s="6"/>
      <c r="L38" s="4"/>
    </row>
    <row r="39" spans="2:17" ht="15.75" thickBot="1" x14ac:dyDescent="0.3">
      <c r="B39" s="782" t="s">
        <v>15</v>
      </c>
      <c r="C39" s="783"/>
      <c r="D39" s="161">
        <f>'April 2020'!H39</f>
        <v>7824.440000000006</v>
      </c>
      <c r="E39" s="115"/>
      <c r="F39" s="115">
        <v>16000</v>
      </c>
      <c r="G39" s="115">
        <v>13922.92</v>
      </c>
      <c r="H39" s="155">
        <f>D39+E39+F39-G39</f>
        <v>9901.5200000000059</v>
      </c>
      <c r="I39" s="23"/>
      <c r="J39" s="65"/>
      <c r="K39" s="6"/>
    </row>
    <row r="40" spans="2:17" ht="15.75" thickBot="1" x14ac:dyDescent="0.3">
      <c r="B40" s="14"/>
      <c r="C40" s="16" t="s">
        <v>21</v>
      </c>
      <c r="D40" s="161">
        <f>'April 2020'!H40</f>
        <v>0</v>
      </c>
      <c r="E40" s="56"/>
      <c r="F40" s="56"/>
      <c r="G40" s="56"/>
      <c r="H40" s="156">
        <f t="shared" si="5"/>
        <v>0</v>
      </c>
      <c r="I40" s="23"/>
      <c r="J40" s="65"/>
      <c r="K40" s="4"/>
    </row>
    <row r="41" spans="2:17" ht="15.75" thickBot="1" x14ac:dyDescent="0.3">
      <c r="B41" s="14"/>
      <c r="C41" s="16" t="s">
        <v>40</v>
      </c>
      <c r="D41" s="161">
        <f>'April 2020'!H41</f>
        <v>-1741.5900000000008</v>
      </c>
      <c r="E41" s="56">
        <v>1514.22</v>
      </c>
      <c r="F41" s="56"/>
      <c r="G41" s="160">
        <v>892.94</v>
      </c>
      <c r="H41" s="157">
        <f>D41+E41+F41-G41</f>
        <v>-1120.3100000000009</v>
      </c>
      <c r="I41" s="23"/>
      <c r="J41" s="4"/>
      <c r="K41" s="4"/>
    </row>
    <row r="42" spans="2:17" ht="15.75" thickBot="1" x14ac:dyDescent="0.3">
      <c r="B42" s="769" t="s">
        <v>16</v>
      </c>
      <c r="C42" s="770"/>
      <c r="D42" s="161">
        <f>'April 2020'!H42</f>
        <v>125129.70000000007</v>
      </c>
      <c r="E42" s="61">
        <v>146816.49</v>
      </c>
      <c r="F42" s="61"/>
      <c r="G42" s="61">
        <v>16000</v>
      </c>
      <c r="H42" s="158">
        <f>D42+E42-F42-G42</f>
        <v>255946.19000000006</v>
      </c>
      <c r="I42" s="23"/>
      <c r="J42" s="4"/>
      <c r="K42" s="4"/>
    </row>
    <row r="43" spans="2:17" ht="15.75" thickBot="1" x14ac:dyDescent="0.3">
      <c r="B43" s="80" t="s">
        <v>46</v>
      </c>
      <c r="C43" s="81"/>
      <c r="D43" s="161">
        <f>'April 2020'!H43</f>
        <v>156951.9</v>
      </c>
      <c r="E43" s="28">
        <v>50.3</v>
      </c>
      <c r="F43" s="28"/>
      <c r="G43" s="28">
        <f>1000+10</f>
        <v>1010</v>
      </c>
      <c r="H43" s="159">
        <f>D43+E43+F43-G43</f>
        <v>155992.19999999998</v>
      </c>
      <c r="I43" s="23"/>
      <c r="J43" s="4"/>
      <c r="K43" s="4"/>
    </row>
    <row r="44" spans="2:17" ht="15.75" thickBot="1" x14ac:dyDescent="0.3">
      <c r="B44" s="765"/>
      <c r="C44" s="766"/>
      <c r="D44" s="29">
        <f>SUM(D38+D39+D42+D43+D41)</f>
        <v>288377.42000000004</v>
      </c>
      <c r="E44" s="46">
        <f>SUM(E38:E43)</f>
        <v>148490.21</v>
      </c>
      <c r="F44" s="30">
        <f>SUM(F39:F43)</f>
        <v>16000</v>
      </c>
      <c r="G44" s="42">
        <f>SUM(G38:G43)</f>
        <v>32061.39</v>
      </c>
      <c r="H44" s="45">
        <f>SUM(H38+H39+H42+H40+H43+H41)</f>
        <v>420806.24000000005</v>
      </c>
      <c r="I44" s="23"/>
      <c r="J44" s="6"/>
      <c r="K44" s="4"/>
      <c r="L44" s="3"/>
    </row>
    <row r="45" spans="2:17" x14ac:dyDescent="0.25">
      <c r="B45" s="188"/>
      <c r="C45" s="185"/>
      <c r="D45" s="23">
        <f>D33-D44</f>
        <v>890.78999999992084</v>
      </c>
      <c r="E45" s="23"/>
      <c r="F45" s="23"/>
      <c r="G45" s="23"/>
      <c r="H45" s="23">
        <f>G33-H44</f>
        <v>890.76999999996042</v>
      </c>
      <c r="I45" s="23"/>
      <c r="J45" s="6"/>
      <c r="K45" s="6"/>
      <c r="L45" s="3"/>
    </row>
    <row r="46" spans="2:17" x14ac:dyDescent="0.25">
      <c r="C46" s="7"/>
      <c r="D46" s="23"/>
      <c r="E46" s="23"/>
      <c r="F46" s="23"/>
      <c r="G46" s="23"/>
      <c r="H46" s="23"/>
      <c r="I46" s="23"/>
      <c r="J46" s="6"/>
    </row>
    <row r="47" spans="2:17" ht="15.75" x14ac:dyDescent="0.25">
      <c r="B47" s="767" t="s">
        <v>17</v>
      </c>
      <c r="C47" s="767"/>
      <c r="D47" s="767"/>
      <c r="E47" s="767"/>
      <c r="F47" s="768" t="s">
        <v>18</v>
      </c>
      <c r="G47" s="768"/>
      <c r="H47" s="23"/>
      <c r="I47" s="23"/>
      <c r="K47" s="6"/>
    </row>
    <row r="48" spans="2:17" ht="15.75" x14ac:dyDescent="0.25">
      <c r="B48" s="186"/>
      <c r="C48" s="186"/>
      <c r="D48" s="187"/>
      <c r="E48" s="187"/>
      <c r="F48" s="187"/>
      <c r="G48" s="187"/>
      <c r="H48" s="23"/>
      <c r="I48" s="23"/>
    </row>
    <row r="49" spans="2:17" ht="15.75" x14ac:dyDescent="0.25">
      <c r="B49" s="767" t="s">
        <v>19</v>
      </c>
      <c r="C49" s="767"/>
      <c r="D49" s="767"/>
      <c r="E49" s="767"/>
      <c r="F49" s="768" t="s">
        <v>18</v>
      </c>
      <c r="G49" s="768"/>
      <c r="H49" s="23"/>
      <c r="I49" s="23"/>
    </row>
    <row r="50" spans="2:17" x14ac:dyDescent="0.25">
      <c r="B50" s="188"/>
      <c r="C50" s="185"/>
      <c r="D50" s="3"/>
      <c r="E50" s="3"/>
      <c r="F50" s="3"/>
      <c r="G50" s="4"/>
      <c r="H50" s="3"/>
      <c r="I50" s="3"/>
      <c r="J50" s="6"/>
      <c r="K50" s="4"/>
      <c r="Q50" s="17"/>
    </row>
    <row r="51" spans="2:17" x14ac:dyDescent="0.25">
      <c r="C51" s="7"/>
      <c r="D51" s="6"/>
      <c r="E51" s="6"/>
      <c r="F51" s="6"/>
      <c r="G51" s="6"/>
      <c r="J51" s="6"/>
      <c r="K51" s="8"/>
      <c r="M51" s="3"/>
      <c r="Q51" s="17"/>
    </row>
    <row r="52" spans="2:17" x14ac:dyDescent="0.25">
      <c r="C52" s="7"/>
      <c r="D52" s="4"/>
      <c r="E52" s="6"/>
      <c r="G52" s="6"/>
      <c r="K52" s="6"/>
    </row>
  </sheetData>
  <mergeCells count="17">
    <mergeCell ref="B44:C44"/>
    <mergeCell ref="B47:E47"/>
    <mergeCell ref="F47:G47"/>
    <mergeCell ref="B49:E49"/>
    <mergeCell ref="F49:G49"/>
    <mergeCell ref="B42:C42"/>
    <mergeCell ref="B2:H2"/>
    <mergeCell ref="B3:H3"/>
    <mergeCell ref="B5:C5"/>
    <mergeCell ref="B6:C6"/>
    <mergeCell ref="B17:C17"/>
    <mergeCell ref="B22:C22"/>
    <mergeCell ref="B28:C28"/>
    <mergeCell ref="B33:C33"/>
    <mergeCell ref="B37:C37"/>
    <mergeCell ref="B38:C38"/>
    <mergeCell ref="B39:C39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7D5D2-C2D0-4054-BE11-1DFB3AF10F52}">
  <sheetPr>
    <pageSetUpPr fitToPage="1"/>
  </sheetPr>
  <dimension ref="A1:S53"/>
  <sheetViews>
    <sheetView topLeftCell="A22" zoomScaleNormal="100" workbookViewId="0">
      <selection activeCell="F10" sqref="F10"/>
    </sheetView>
  </sheetViews>
  <sheetFormatPr defaultColWidth="9.140625" defaultRowHeight="15" x14ac:dyDescent="0.25"/>
  <cols>
    <col min="1" max="1" width="3" customWidth="1"/>
    <col min="2" max="2" width="5.7109375" customWidth="1"/>
    <col min="3" max="3" width="33.85546875" bestFit="1" customWidth="1"/>
    <col min="4" max="4" width="13.85546875" customWidth="1"/>
    <col min="5" max="5" width="12.5703125" customWidth="1"/>
    <col min="6" max="6" width="15.28515625" customWidth="1"/>
    <col min="7" max="8" width="12.5703125" customWidth="1"/>
    <col min="9" max="9" width="15.7109375" customWidth="1"/>
    <col min="10" max="10" width="14.7109375" customWidth="1"/>
    <col min="11" max="11" width="14.5703125" customWidth="1"/>
    <col min="12" max="12" width="11.28515625" customWidth="1"/>
    <col min="17" max="17" width="13" customWidth="1"/>
  </cols>
  <sheetData>
    <row r="1" spans="1:19" hidden="1" x14ac:dyDescent="0.25"/>
    <row r="2" spans="1:19" ht="21" x14ac:dyDescent="0.35">
      <c r="B2" s="771" t="s">
        <v>0</v>
      </c>
      <c r="C2" s="771"/>
      <c r="D2" s="771"/>
      <c r="E2" s="771"/>
      <c r="F2" s="771"/>
      <c r="G2" s="771"/>
      <c r="H2" s="771"/>
      <c r="I2" s="197"/>
    </row>
    <row r="3" spans="1:19" ht="18.75" x14ac:dyDescent="0.3">
      <c r="B3" s="772" t="s">
        <v>66</v>
      </c>
      <c r="C3" s="772"/>
      <c r="D3" s="772"/>
      <c r="E3" s="772"/>
      <c r="F3" s="772"/>
      <c r="G3" s="772"/>
      <c r="H3" s="772"/>
      <c r="I3" s="198"/>
    </row>
    <row r="4" spans="1:19" ht="15.75" thickBot="1" x14ac:dyDescent="0.3">
      <c r="B4" s="1"/>
      <c r="C4" s="51" t="s">
        <v>37</v>
      </c>
      <c r="D4" s="1"/>
      <c r="E4" s="1"/>
      <c r="F4" s="1"/>
      <c r="G4" s="2"/>
      <c r="J4" s="88"/>
    </row>
    <row r="5" spans="1:19" x14ac:dyDescent="0.25">
      <c r="B5" s="773" t="s">
        <v>1</v>
      </c>
      <c r="C5" s="774"/>
      <c r="D5" s="24" t="s">
        <v>2</v>
      </c>
      <c r="E5" s="24" t="s">
        <v>3</v>
      </c>
      <c r="F5" s="24" t="s">
        <v>58</v>
      </c>
      <c r="G5" s="24" t="s">
        <v>5</v>
      </c>
      <c r="H5" s="24" t="s">
        <v>6</v>
      </c>
      <c r="I5" s="50"/>
      <c r="J5" s="50"/>
    </row>
    <row r="6" spans="1:19" x14ac:dyDescent="0.25">
      <c r="B6" s="775" t="s">
        <v>7</v>
      </c>
      <c r="C6" s="776"/>
      <c r="D6" s="25">
        <f>SUM(D7:D16)</f>
        <v>107852.80000000002</v>
      </c>
      <c r="E6" s="62">
        <f>SUM(E7:E16)</f>
        <v>4935.0200000000004</v>
      </c>
      <c r="F6" s="62">
        <f>SUM(F7:F16)</f>
        <v>-1202.3999999999999</v>
      </c>
      <c r="G6" s="62">
        <f>SUM(G7:G16)</f>
        <v>113990.22</v>
      </c>
      <c r="H6" s="63">
        <f>SUM(H7:H15)</f>
        <v>0</v>
      </c>
      <c r="I6" s="73"/>
      <c r="J6" s="73"/>
      <c r="K6" s="73"/>
      <c r="L6" s="23"/>
      <c r="Q6" s="23"/>
      <c r="S6" s="23"/>
    </row>
    <row r="7" spans="1:19" ht="15.75" customHeight="1" x14ac:dyDescent="0.25">
      <c r="B7" s="11"/>
      <c r="C7" s="22" t="s">
        <v>23</v>
      </c>
      <c r="D7" s="163">
        <f>'May 2020'!G7+587.3</f>
        <v>107792.77000000002</v>
      </c>
      <c r="E7" s="139">
        <f>120.13+1500</f>
        <v>1620.13</v>
      </c>
      <c r="F7" s="139">
        <f>1000+1844.38+728.67+773.44+361.44-9811.97</f>
        <v>-5104.04</v>
      </c>
      <c r="G7" s="164">
        <f>D7+E7-F7</f>
        <v>114516.94000000002</v>
      </c>
      <c r="H7" s="165"/>
      <c r="I7" s="125"/>
      <c r="J7" s="23"/>
    </row>
    <row r="8" spans="1:19" x14ac:dyDescent="0.25">
      <c r="B8" s="12"/>
      <c r="C8" s="52" t="s">
        <v>62</v>
      </c>
      <c r="D8" s="163">
        <f>'May 2020'!G8</f>
        <v>-1247.19</v>
      </c>
      <c r="E8" s="166"/>
      <c r="F8" s="154">
        <v>919.37</v>
      </c>
      <c r="G8" s="108">
        <f t="shared" ref="G8:G16" si="0">D8+E8-F8</f>
        <v>-2166.56</v>
      </c>
      <c r="H8" s="165"/>
      <c r="I8" s="73"/>
      <c r="J8" s="149"/>
    </row>
    <row r="9" spans="1:19" hidden="1" x14ac:dyDescent="0.25">
      <c r="B9" s="12"/>
      <c r="C9" s="53" t="s">
        <v>67</v>
      </c>
      <c r="D9" s="163">
        <f>'May 2020'!G9</f>
        <v>0</v>
      </c>
      <c r="E9" s="166"/>
      <c r="F9" s="166"/>
      <c r="G9" s="164">
        <f t="shared" si="0"/>
        <v>0</v>
      </c>
      <c r="H9" s="165"/>
      <c r="I9" s="73"/>
      <c r="J9" s="71">
        <v>3231.47</v>
      </c>
      <c r="K9" s="23"/>
    </row>
    <row r="10" spans="1:19" x14ac:dyDescent="0.25">
      <c r="B10" s="12"/>
      <c r="C10" s="53" t="s">
        <v>41</v>
      </c>
      <c r="D10" s="163">
        <f>'May 2020'!G10</f>
        <v>-2487.96</v>
      </c>
      <c r="E10" s="152">
        <f>2940+225.89</f>
        <v>3165.89</v>
      </c>
      <c r="F10" s="152">
        <f>1207.48+123.75</f>
        <v>1331.23</v>
      </c>
      <c r="G10" s="108">
        <f t="shared" si="0"/>
        <v>-653.30000000000018</v>
      </c>
      <c r="H10" s="165"/>
      <c r="I10" s="73"/>
      <c r="J10" s="93"/>
      <c r="K10" s="23"/>
    </row>
    <row r="11" spans="1:19" hidden="1" x14ac:dyDescent="0.25">
      <c r="B11" s="12"/>
      <c r="C11" s="53" t="s">
        <v>29</v>
      </c>
      <c r="D11" s="163">
        <f>'May 2020'!G11</f>
        <v>0</v>
      </c>
      <c r="E11" s="70"/>
      <c r="F11" s="70"/>
      <c r="G11" s="164">
        <f t="shared" si="0"/>
        <v>0</v>
      </c>
      <c r="H11" s="165"/>
      <c r="I11" s="73"/>
      <c r="J11" s="93"/>
    </row>
    <row r="12" spans="1:19" x14ac:dyDescent="0.25">
      <c r="B12" s="12"/>
      <c r="C12" s="53" t="s">
        <v>20</v>
      </c>
      <c r="D12" s="163">
        <f>'May 2020'!G12-153.21</f>
        <v>5087.58</v>
      </c>
      <c r="E12" s="152">
        <f>72.05+67.36</f>
        <v>139.41</v>
      </c>
      <c r="F12" s="152">
        <v>812.2</v>
      </c>
      <c r="G12" s="181">
        <f t="shared" si="0"/>
        <v>4414.79</v>
      </c>
      <c r="H12" s="165"/>
      <c r="I12" s="73"/>
      <c r="J12" s="23"/>
    </row>
    <row r="13" spans="1:19" x14ac:dyDescent="0.25">
      <c r="B13" s="12"/>
      <c r="C13" s="53" t="s">
        <v>22</v>
      </c>
      <c r="D13" s="163">
        <f>'May 2020'!G13</f>
        <v>408.37999999999994</v>
      </c>
      <c r="E13" s="152">
        <v>9.59</v>
      </c>
      <c r="F13" s="152">
        <v>428</v>
      </c>
      <c r="G13" s="181">
        <f t="shared" si="0"/>
        <v>-10.030000000000086</v>
      </c>
      <c r="H13" s="165"/>
      <c r="I13" s="73"/>
      <c r="J13" s="23"/>
    </row>
    <row r="14" spans="1:19" x14ac:dyDescent="0.25">
      <c r="B14" s="12"/>
      <c r="C14" s="53" t="s">
        <v>28</v>
      </c>
      <c r="D14" s="163">
        <f>'May 2020'!G14</f>
        <v>-1510.4900000000002</v>
      </c>
      <c r="E14" s="167"/>
      <c r="F14" s="152">
        <v>87.69</v>
      </c>
      <c r="G14" s="184">
        <f t="shared" si="0"/>
        <v>-1598.1800000000003</v>
      </c>
      <c r="H14" s="165"/>
      <c r="I14" s="73"/>
      <c r="J14" s="23"/>
    </row>
    <row r="15" spans="1:19" x14ac:dyDescent="0.25">
      <c r="A15" t="s">
        <v>26</v>
      </c>
      <c r="B15" s="12"/>
      <c r="C15" s="18" t="s">
        <v>42</v>
      </c>
      <c r="D15" s="163">
        <f>'May 2020'!G15</f>
        <v>34.660000000000025</v>
      </c>
      <c r="E15" s="166"/>
      <c r="F15" s="154">
        <v>299.48</v>
      </c>
      <c r="G15" s="153">
        <f t="shared" si="0"/>
        <v>-264.82</v>
      </c>
      <c r="H15" s="165"/>
      <c r="I15" s="73"/>
      <c r="J15" s="23"/>
    </row>
    <row r="16" spans="1:19" x14ac:dyDescent="0.25">
      <c r="B16" s="12"/>
      <c r="C16" s="18" t="s">
        <v>43</v>
      </c>
      <c r="D16" s="163">
        <f>'May 2020'!G16</f>
        <v>-224.95000000000022</v>
      </c>
      <c r="E16" s="166"/>
      <c r="F16" s="154">
        <v>23.67</v>
      </c>
      <c r="G16" s="181">
        <f t="shared" si="0"/>
        <v>-248.62000000000023</v>
      </c>
      <c r="H16" s="165"/>
      <c r="I16" s="73"/>
      <c r="J16" s="73"/>
      <c r="Q16" s="23"/>
    </row>
    <row r="17" spans="2:17" x14ac:dyDescent="0.25">
      <c r="B17" s="777" t="s">
        <v>53</v>
      </c>
      <c r="C17" s="778"/>
      <c r="D17" s="141">
        <f>SUM(D18:D22)</f>
        <v>-27555.010000000002</v>
      </c>
      <c r="E17" s="168">
        <f>SUM(E18:E22)</f>
        <v>2161.5100000000002</v>
      </c>
      <c r="F17" s="168">
        <f>SUM(F18:F22)</f>
        <v>14147.589999999998</v>
      </c>
      <c r="G17" s="184">
        <f>SUM(G18:G22)</f>
        <v>-39541.089999999997</v>
      </c>
      <c r="H17" s="169"/>
      <c r="I17" s="73"/>
      <c r="J17" s="73"/>
      <c r="Q17" s="23"/>
    </row>
    <row r="18" spans="2:17" x14ac:dyDescent="0.25">
      <c r="B18" s="13"/>
      <c r="C18" s="40" t="s">
        <v>9</v>
      </c>
      <c r="D18" s="140">
        <f>'May 2020'!G18</f>
        <v>-16241.35</v>
      </c>
      <c r="E18" s="150"/>
      <c r="F18" s="134">
        <v>6518.29</v>
      </c>
      <c r="G18" s="137">
        <f>D18+E18-F18</f>
        <v>-22759.64</v>
      </c>
      <c r="H18" s="166"/>
      <c r="I18" s="73"/>
      <c r="J18" s="23"/>
      <c r="K18" s="4"/>
    </row>
    <row r="19" spans="2:17" x14ac:dyDescent="0.25">
      <c r="B19" s="12"/>
      <c r="C19" s="55" t="s">
        <v>8</v>
      </c>
      <c r="D19" s="140">
        <f>'May 2020'!G19</f>
        <v>-6658.35</v>
      </c>
      <c r="E19" s="152">
        <v>2161.5100000000002</v>
      </c>
      <c r="F19" s="152">
        <f>5552.2+371.52</f>
        <v>5923.7199999999993</v>
      </c>
      <c r="G19" s="137">
        <f>D19+E19-F19</f>
        <v>-10420.56</v>
      </c>
      <c r="H19" s="170"/>
      <c r="I19" s="73"/>
      <c r="J19" s="23"/>
    </row>
    <row r="20" spans="2:17" x14ac:dyDescent="0.25">
      <c r="B20" s="12"/>
      <c r="C20" s="55" t="s">
        <v>32</v>
      </c>
      <c r="D20" s="140">
        <f>'May 2020'!G20</f>
        <v>-1388.72</v>
      </c>
      <c r="E20" s="167"/>
      <c r="F20" s="152">
        <v>555.37</v>
      </c>
      <c r="G20" s="137">
        <f t="shared" ref="G20:G22" si="1">D20+E20-F20</f>
        <v>-1944.0900000000001</v>
      </c>
      <c r="H20" s="171"/>
      <c r="I20" s="73"/>
      <c r="J20" s="23"/>
    </row>
    <row r="21" spans="2:17" x14ac:dyDescent="0.25">
      <c r="B21" s="12"/>
      <c r="C21" s="55" t="s">
        <v>67</v>
      </c>
      <c r="D21" s="140">
        <v>-76.599999999999994</v>
      </c>
      <c r="E21" s="167"/>
      <c r="F21" s="152">
        <v>92.81</v>
      </c>
      <c r="G21" s="137">
        <f t="shared" si="1"/>
        <v>-169.41</v>
      </c>
      <c r="H21" s="171"/>
      <c r="I21" s="73"/>
      <c r="J21" s="23"/>
    </row>
    <row r="22" spans="2:17" x14ac:dyDescent="0.25">
      <c r="B22" s="10"/>
      <c r="C22" s="41" t="s">
        <v>38</v>
      </c>
      <c r="D22" s="140">
        <f>'May 2020'!G21-76.6</f>
        <v>-3189.9900000000002</v>
      </c>
      <c r="E22" s="151"/>
      <c r="F22" s="134">
        <f>964.59+92.81</f>
        <v>1057.4000000000001</v>
      </c>
      <c r="G22" s="137">
        <f t="shared" si="1"/>
        <v>-4247.3900000000003</v>
      </c>
      <c r="H22" s="166"/>
      <c r="I22" s="73"/>
      <c r="J22" s="23"/>
      <c r="K22" s="4"/>
    </row>
    <row r="23" spans="2:17" x14ac:dyDescent="0.25">
      <c r="B23" s="775" t="s">
        <v>10</v>
      </c>
      <c r="C23" s="776"/>
      <c r="D23" s="141">
        <f>SUM(D24:D28)</f>
        <v>291052.96000000002</v>
      </c>
      <c r="E23" s="172">
        <f>SUM(E24:E28)</f>
        <v>0</v>
      </c>
      <c r="F23" s="172">
        <f>SUM(F24:F28)</f>
        <v>11327.269999999999</v>
      </c>
      <c r="G23" s="111">
        <f>SUM(G24:G28)</f>
        <v>279725.69</v>
      </c>
      <c r="H23" s="173">
        <f>SUM(H28:H32)</f>
        <v>0</v>
      </c>
      <c r="I23" s="73"/>
      <c r="J23" s="73"/>
      <c r="Q23" s="23"/>
    </row>
    <row r="24" spans="2:17" x14ac:dyDescent="0.25">
      <c r="B24" s="13"/>
      <c r="C24" s="37" t="s">
        <v>55</v>
      </c>
      <c r="D24" s="140">
        <f>'May 2020'!G23</f>
        <v>18710</v>
      </c>
      <c r="E24" s="150"/>
      <c r="F24" s="150"/>
      <c r="G24" s="121">
        <f>D24+E24-F24</f>
        <v>18710</v>
      </c>
      <c r="H24" s="139"/>
      <c r="I24" s="73"/>
      <c r="J24" s="23"/>
      <c r="K24" s="5"/>
    </row>
    <row r="25" spans="2:17" x14ac:dyDescent="0.25">
      <c r="B25" s="11"/>
      <c r="C25" s="19" t="s">
        <v>34</v>
      </c>
      <c r="D25" s="140">
        <f>'May 2020'!G24-102.14</f>
        <v>35180.910000000003</v>
      </c>
      <c r="E25" s="151"/>
      <c r="F25" s="182">
        <f>11028.14+123.75</f>
        <v>11151.89</v>
      </c>
      <c r="G25" s="121">
        <f t="shared" ref="G25:G28" si="2">D25+E25-F25</f>
        <v>24029.020000000004</v>
      </c>
      <c r="H25" s="166"/>
      <c r="I25" s="74"/>
      <c r="J25" s="23"/>
      <c r="K25" s="23"/>
    </row>
    <row r="26" spans="2:17" x14ac:dyDescent="0.25">
      <c r="B26" s="11"/>
      <c r="C26" s="19" t="s">
        <v>39</v>
      </c>
      <c r="D26" s="140">
        <f>'May 2020'!G25</f>
        <v>102500</v>
      </c>
      <c r="E26" s="151"/>
      <c r="F26" s="151"/>
      <c r="G26" s="121">
        <f t="shared" si="2"/>
        <v>102500</v>
      </c>
      <c r="H26" s="166"/>
      <c r="I26" s="74"/>
      <c r="J26" s="23"/>
      <c r="K26" s="23"/>
    </row>
    <row r="27" spans="2:17" x14ac:dyDescent="0.25">
      <c r="B27" s="11"/>
      <c r="C27" s="19" t="s">
        <v>65</v>
      </c>
      <c r="D27" s="140">
        <f>'May 2020'!G26</f>
        <v>134492</v>
      </c>
      <c r="E27" s="151"/>
      <c r="F27" s="151"/>
      <c r="G27" s="121">
        <f t="shared" si="2"/>
        <v>134492</v>
      </c>
      <c r="H27" s="166"/>
      <c r="I27" s="74"/>
      <c r="J27" s="23"/>
      <c r="K27" s="23"/>
    </row>
    <row r="28" spans="2:17" x14ac:dyDescent="0.25">
      <c r="B28" s="10"/>
      <c r="C28" s="18" t="s">
        <v>44</v>
      </c>
      <c r="D28" s="140">
        <f>'May 2020'!G27</f>
        <v>170.05</v>
      </c>
      <c r="E28" s="151"/>
      <c r="F28" s="134">
        <v>175.38</v>
      </c>
      <c r="G28" s="121">
        <f t="shared" si="2"/>
        <v>-5.3299999999999841</v>
      </c>
      <c r="H28" s="166"/>
      <c r="I28" s="73"/>
      <c r="J28" s="23"/>
      <c r="K28" s="5"/>
    </row>
    <row r="29" spans="2:17" x14ac:dyDescent="0.25">
      <c r="B29" s="775" t="s">
        <v>35</v>
      </c>
      <c r="C29" s="776"/>
      <c r="D29" s="141">
        <f>SUM(D30:D33)</f>
        <v>50448.41</v>
      </c>
      <c r="E29" s="172">
        <f>SUM(E30:E33)</f>
        <v>0</v>
      </c>
      <c r="F29" s="172">
        <f>SUM(F30:F33)</f>
        <v>589.72</v>
      </c>
      <c r="G29" s="111">
        <f>SUM(G30:G33)</f>
        <v>49858.69</v>
      </c>
      <c r="H29" s="173">
        <f t="shared" ref="H29" si="3">SUM(H30:H32)</f>
        <v>0</v>
      </c>
      <c r="I29" s="73"/>
      <c r="J29" s="73"/>
      <c r="Q29" s="23"/>
    </row>
    <row r="30" spans="2:17" x14ac:dyDescent="0.25">
      <c r="B30" s="10"/>
      <c r="C30" s="18" t="s">
        <v>48</v>
      </c>
      <c r="D30" s="140">
        <f>'May 2020'!G29</f>
        <v>27038.93</v>
      </c>
      <c r="E30" s="174"/>
      <c r="F30" s="183">
        <v>496.91</v>
      </c>
      <c r="G30" s="119">
        <f t="shared" ref="G30:G33" si="4">D30+E30-F30</f>
        <v>26542.02</v>
      </c>
      <c r="H30" s="166"/>
      <c r="I30" s="73"/>
      <c r="J30" s="23"/>
      <c r="K30" s="5"/>
    </row>
    <row r="31" spans="2:17" x14ac:dyDescent="0.25">
      <c r="B31" s="10"/>
      <c r="C31" s="20" t="s">
        <v>64</v>
      </c>
      <c r="D31" s="140">
        <f>'May 2020'!G30-76.6</f>
        <v>23409.48</v>
      </c>
      <c r="E31" s="174"/>
      <c r="F31" s="134">
        <v>92.81</v>
      </c>
      <c r="G31" s="119">
        <f t="shared" si="4"/>
        <v>23316.67</v>
      </c>
      <c r="H31" s="166"/>
      <c r="I31" s="73"/>
      <c r="J31" s="93"/>
      <c r="K31" s="3"/>
      <c r="Q31" s="148"/>
    </row>
    <row r="32" spans="2:17" x14ac:dyDescent="0.25">
      <c r="B32" s="10"/>
      <c r="C32" s="21" t="s">
        <v>33</v>
      </c>
      <c r="D32" s="140">
        <f>'May 2020'!G31</f>
        <v>0</v>
      </c>
      <c r="E32" s="174"/>
      <c r="F32" s="151"/>
      <c r="G32" s="151">
        <f t="shared" si="4"/>
        <v>0</v>
      </c>
      <c r="H32" s="166"/>
      <c r="I32" s="73"/>
      <c r="J32" s="23"/>
      <c r="K32" s="4"/>
      <c r="Q32" s="149"/>
    </row>
    <row r="33" spans="2:17" ht="15.75" thickBot="1" x14ac:dyDescent="0.3">
      <c r="C33" s="104" t="s">
        <v>47</v>
      </c>
      <c r="D33" s="140">
        <f>'May 2020'!G32</f>
        <v>0</v>
      </c>
      <c r="E33" s="174"/>
      <c r="F33" s="151"/>
      <c r="G33" s="151">
        <f t="shared" si="4"/>
        <v>0</v>
      </c>
      <c r="H33" s="166"/>
      <c r="I33" s="73"/>
      <c r="J33" s="23"/>
      <c r="K33" s="4"/>
      <c r="Q33" s="149"/>
    </row>
    <row r="34" spans="2:17" ht="15.75" thickBot="1" x14ac:dyDescent="0.3">
      <c r="B34" s="779" t="s">
        <v>11</v>
      </c>
      <c r="C34" s="766"/>
      <c r="D34" s="38">
        <f>D6+D17+D23+D29</f>
        <v>421799.16000000003</v>
      </c>
      <c r="E34" s="203">
        <f>SUM(E23,E17,E6,E29)</f>
        <v>7096.5300000000007</v>
      </c>
      <c r="F34" s="203">
        <f>SUM(F23,F17,F6,F29)</f>
        <v>24862.179999999997</v>
      </c>
      <c r="G34" s="44">
        <f>SUM(G23,G17,G6,G29)</f>
        <v>404033.51</v>
      </c>
      <c r="H34" s="78">
        <f>SUM(H6,H16,H23,H29)</f>
        <v>0</v>
      </c>
      <c r="I34" s="23"/>
      <c r="J34" s="23"/>
      <c r="K34" s="6"/>
    </row>
    <row r="35" spans="2:17" hidden="1" x14ac:dyDescent="0.25">
      <c r="B35" s="199"/>
      <c r="C35" s="200"/>
      <c r="D35" s="23">
        <f>SUM(D17:D22)</f>
        <v>-55110.02</v>
      </c>
      <c r="E35" s="23"/>
      <c r="F35" s="23"/>
      <c r="G35" s="23"/>
      <c r="H35" s="49"/>
      <c r="I35" s="23"/>
      <c r="L35" t="s">
        <v>12</v>
      </c>
      <c r="M35">
        <v>42.43</v>
      </c>
    </row>
    <row r="36" spans="2:17" ht="15.75" hidden="1" thickBot="1" x14ac:dyDescent="0.3">
      <c r="B36" s="9" t="s">
        <v>25</v>
      </c>
      <c r="C36" s="15"/>
      <c r="D36" s="33" t="e">
        <f>SUM(D34,#REF!)</f>
        <v>#REF!</v>
      </c>
      <c r="E36" s="34" t="e">
        <f>SUM(E34,#REF!)</f>
        <v>#REF!</v>
      </c>
      <c r="F36" s="34" t="e">
        <f>SUM(F34,#REF!)</f>
        <v>#REF!</v>
      </c>
      <c r="G36" s="35" t="e">
        <f>SUM(G34,#REF!)</f>
        <v>#REF!</v>
      </c>
      <c r="H36" s="49"/>
      <c r="I36" s="23"/>
      <c r="J36" s="6"/>
      <c r="K36" s="4">
        <v>206730.35</v>
      </c>
    </row>
    <row r="37" spans="2:17" ht="15.75" thickBot="1" x14ac:dyDescent="0.3">
      <c r="C37" s="7"/>
      <c r="D37" s="23"/>
      <c r="E37" s="23"/>
      <c r="F37" s="23"/>
      <c r="G37" s="23"/>
      <c r="H37" s="49"/>
      <c r="I37" s="64"/>
      <c r="J37" s="6"/>
      <c r="K37" s="4"/>
      <c r="Q37" s="23"/>
    </row>
    <row r="38" spans="2:17" ht="15.75" thickBot="1" x14ac:dyDescent="0.3">
      <c r="B38" s="780" t="s">
        <v>13</v>
      </c>
      <c r="C38" s="781"/>
      <c r="D38" s="31" t="s">
        <v>2</v>
      </c>
      <c r="E38" s="31" t="s">
        <v>3</v>
      </c>
      <c r="F38" s="31" t="s">
        <v>24</v>
      </c>
      <c r="G38" s="31" t="s">
        <v>27</v>
      </c>
      <c r="H38" s="31" t="s">
        <v>5</v>
      </c>
      <c r="I38" s="50"/>
      <c r="J38" s="6"/>
      <c r="K38" s="8"/>
    </row>
    <row r="39" spans="2:17" ht="15.75" thickBot="1" x14ac:dyDescent="0.3">
      <c r="B39" s="769" t="s">
        <v>14</v>
      </c>
      <c r="C39" s="770"/>
      <c r="D39" s="161">
        <f>'May 2020'!H38</f>
        <v>86.640000000000015</v>
      </c>
      <c r="E39" s="162"/>
      <c r="F39" s="162"/>
      <c r="G39" s="162">
        <v>16</v>
      </c>
      <c r="H39" s="114">
        <f t="shared" ref="H39:H41" si="5">D39+E39+F39-G39</f>
        <v>70.640000000000015</v>
      </c>
      <c r="I39" s="23"/>
      <c r="K39" s="6"/>
      <c r="L39" s="4"/>
    </row>
    <row r="40" spans="2:17" ht="15.75" thickBot="1" x14ac:dyDescent="0.3">
      <c r="B40" s="782" t="s">
        <v>15</v>
      </c>
      <c r="C40" s="783"/>
      <c r="D40" s="161">
        <f>'May 2020'!H39</f>
        <v>9901.5200000000059</v>
      </c>
      <c r="E40" s="115"/>
      <c r="F40" s="115">
        <v>49000</v>
      </c>
      <c r="G40" s="115">
        <v>50863.360000000001</v>
      </c>
      <c r="H40" s="155">
        <f>D40+E40+F40-G40</f>
        <v>8038.1600000000035</v>
      </c>
      <c r="I40" s="23"/>
      <c r="J40" s="65"/>
      <c r="K40" s="6"/>
    </row>
    <row r="41" spans="2:17" ht="15.75" thickBot="1" x14ac:dyDescent="0.3">
      <c r="B41" s="14"/>
      <c r="C41" s="16" t="s">
        <v>21</v>
      </c>
      <c r="D41" s="161">
        <f>'May 2020'!H40</f>
        <v>0</v>
      </c>
      <c r="E41" s="56"/>
      <c r="F41" s="56"/>
      <c r="G41" s="56"/>
      <c r="H41" s="156">
        <f t="shared" si="5"/>
        <v>0</v>
      </c>
      <c r="I41" s="23"/>
      <c r="J41" s="65"/>
      <c r="K41" s="4"/>
    </row>
    <row r="42" spans="2:17" ht="15.75" thickBot="1" x14ac:dyDescent="0.3">
      <c r="B42" s="14"/>
      <c r="C42" s="16" t="s">
        <v>40</v>
      </c>
      <c r="D42" s="161">
        <f>'May 2020'!H41</f>
        <v>-1120.3100000000009</v>
      </c>
      <c r="E42" s="56">
        <v>892.94</v>
      </c>
      <c r="F42" s="56"/>
      <c r="G42" s="160">
        <v>11852.89</v>
      </c>
      <c r="H42" s="157">
        <f>D42+E42+F42-G42</f>
        <v>-12080.26</v>
      </c>
      <c r="I42" s="23"/>
      <c r="J42" s="4"/>
      <c r="K42" s="4"/>
    </row>
    <row r="43" spans="2:17" ht="15.75" thickBot="1" x14ac:dyDescent="0.3">
      <c r="B43" s="769" t="s">
        <v>16</v>
      </c>
      <c r="C43" s="770"/>
      <c r="D43" s="161">
        <f>'May 2020'!H42</f>
        <v>255946.19000000006</v>
      </c>
      <c r="E43" s="61">
        <f>19803.07</f>
        <v>19803.07</v>
      </c>
      <c r="F43" s="61"/>
      <c r="G43" s="61">
        <v>49000</v>
      </c>
      <c r="H43" s="158">
        <f>D43+E43-F43-G43</f>
        <v>226749.26000000007</v>
      </c>
      <c r="I43" s="23"/>
      <c r="J43" s="4"/>
      <c r="K43" s="4"/>
    </row>
    <row r="44" spans="2:17" ht="15.75" thickBot="1" x14ac:dyDescent="0.3">
      <c r="B44" s="80" t="s">
        <v>46</v>
      </c>
      <c r="C44" s="81"/>
      <c r="D44" s="161">
        <f>'May 2020'!H43</f>
        <v>155992.19999999998</v>
      </c>
      <c r="E44" s="28">
        <f>48.69+25000</f>
        <v>25048.69</v>
      </c>
      <c r="F44" s="28"/>
      <c r="G44" s="28">
        <f>1000+3.97</f>
        <v>1003.97</v>
      </c>
      <c r="H44" s="159">
        <f>D44+E44+F44-G44</f>
        <v>180036.91999999998</v>
      </c>
      <c r="I44" s="23"/>
      <c r="J44" s="4"/>
      <c r="K44" s="4"/>
    </row>
    <row r="45" spans="2:17" ht="15.75" thickBot="1" x14ac:dyDescent="0.3">
      <c r="B45" s="765"/>
      <c r="C45" s="766"/>
      <c r="D45" s="29">
        <f>SUM(D39+D40+D43+D44+D42)</f>
        <v>420806.24000000005</v>
      </c>
      <c r="E45" s="204">
        <f>SUM(E39:E44)</f>
        <v>45744.7</v>
      </c>
      <c r="F45" s="30">
        <f>SUM(F40:F44)</f>
        <v>49000</v>
      </c>
      <c r="G45" s="204">
        <f>SUM(G39:G44)</f>
        <v>112736.22</v>
      </c>
      <c r="H45" s="45">
        <f>SUM(H39+H40+H43+H41+H44+H42)</f>
        <v>402814.72000000009</v>
      </c>
      <c r="I45" s="23"/>
      <c r="J45" s="6"/>
      <c r="K45" s="4"/>
      <c r="L45" s="3"/>
    </row>
    <row r="46" spans="2:17" x14ac:dyDescent="0.25">
      <c r="B46" s="199"/>
      <c r="C46" s="200"/>
      <c r="D46" s="23">
        <f>D34-D45</f>
        <v>992.9199999999837</v>
      </c>
      <c r="E46" s="23"/>
      <c r="F46" s="23"/>
      <c r="G46" s="23"/>
      <c r="H46" s="23">
        <f>G34-H45</f>
        <v>1218.7899999999208</v>
      </c>
      <c r="I46" s="23"/>
      <c r="J46" s="6"/>
      <c r="K46" s="6"/>
      <c r="L46" s="3"/>
    </row>
    <row r="47" spans="2:17" x14ac:dyDescent="0.25">
      <c r="C47" s="7"/>
      <c r="D47" s="23"/>
      <c r="E47" s="23"/>
      <c r="F47" s="23"/>
      <c r="G47" s="23"/>
      <c r="H47" s="23"/>
      <c r="I47" s="23"/>
      <c r="J47" s="6"/>
    </row>
    <row r="48" spans="2:17" ht="15.75" x14ac:dyDescent="0.25">
      <c r="B48" s="767" t="s">
        <v>17</v>
      </c>
      <c r="C48" s="767"/>
      <c r="D48" s="767"/>
      <c r="E48" s="767"/>
      <c r="F48" s="768" t="s">
        <v>18</v>
      </c>
      <c r="G48" s="768"/>
      <c r="H48" s="23"/>
      <c r="I48" s="23"/>
      <c r="K48" s="6"/>
    </row>
    <row r="49" spans="2:17" ht="15.75" x14ac:dyDescent="0.25">
      <c r="B49" s="201"/>
      <c r="C49" s="201"/>
      <c r="D49" s="202"/>
      <c r="E49" s="202"/>
      <c r="F49" s="202"/>
      <c r="G49" s="202"/>
      <c r="H49" s="23"/>
      <c r="I49" s="23"/>
    </row>
    <row r="50" spans="2:17" ht="15.75" x14ac:dyDescent="0.25">
      <c r="B50" s="767" t="s">
        <v>19</v>
      </c>
      <c r="C50" s="767"/>
      <c r="D50" s="767"/>
      <c r="E50" s="767"/>
      <c r="F50" s="768" t="s">
        <v>18</v>
      </c>
      <c r="G50" s="768"/>
      <c r="H50" s="23"/>
      <c r="I50" s="23"/>
    </row>
    <row r="51" spans="2:17" x14ac:dyDescent="0.25">
      <c r="B51" s="199"/>
      <c r="C51" s="200"/>
      <c r="D51" s="3"/>
      <c r="E51" s="3"/>
      <c r="F51" s="3"/>
      <c r="G51" s="4"/>
      <c r="H51" s="3"/>
      <c r="I51" s="3"/>
      <c r="J51" s="6"/>
      <c r="K51" s="4"/>
      <c r="Q51" s="17"/>
    </row>
    <row r="52" spans="2:17" x14ac:dyDescent="0.25">
      <c r="C52" s="7"/>
      <c r="D52" s="6"/>
      <c r="E52" s="6"/>
      <c r="F52" s="6"/>
      <c r="G52" s="6"/>
      <c r="J52" s="6"/>
      <c r="K52" s="8"/>
      <c r="M52" s="3"/>
      <c r="Q52" s="17"/>
    </row>
    <row r="53" spans="2:17" x14ac:dyDescent="0.25">
      <c r="C53" s="7"/>
      <c r="D53" s="4"/>
      <c r="E53" s="6"/>
      <c r="G53" s="6"/>
      <c r="K53" s="6"/>
    </row>
  </sheetData>
  <mergeCells count="17">
    <mergeCell ref="B45:C45"/>
    <mergeCell ref="B48:E48"/>
    <mergeCell ref="F48:G48"/>
    <mergeCell ref="B50:E50"/>
    <mergeCell ref="F50:G50"/>
    <mergeCell ref="B43:C43"/>
    <mergeCell ref="B2:H2"/>
    <mergeCell ref="B3:H3"/>
    <mergeCell ref="B5:C5"/>
    <mergeCell ref="B6:C6"/>
    <mergeCell ref="B17:C17"/>
    <mergeCell ref="B23:C23"/>
    <mergeCell ref="B29:C29"/>
    <mergeCell ref="B34:C34"/>
    <mergeCell ref="B38:C38"/>
    <mergeCell ref="B39:C39"/>
    <mergeCell ref="B40:C40"/>
  </mergeCells>
  <pageMargins left="0.7" right="0.7" top="0.75" bottom="0.75" header="0.3" footer="0.3"/>
  <pageSetup scale="82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0746F-B3D5-419F-880C-84272A4EFB86}">
  <sheetPr>
    <pageSetUpPr fitToPage="1"/>
  </sheetPr>
  <dimension ref="A1:S54"/>
  <sheetViews>
    <sheetView topLeftCell="A22" zoomScale="110" zoomScaleNormal="110" workbookViewId="0">
      <selection activeCell="F29" sqref="F29"/>
    </sheetView>
  </sheetViews>
  <sheetFormatPr defaultColWidth="9.140625" defaultRowHeight="15" x14ac:dyDescent="0.25"/>
  <cols>
    <col min="1" max="1" width="3" customWidth="1"/>
    <col min="2" max="2" width="5.7109375" customWidth="1"/>
    <col min="3" max="3" width="33.85546875" bestFit="1" customWidth="1"/>
    <col min="4" max="4" width="13.85546875" customWidth="1"/>
    <col min="5" max="5" width="12.5703125" customWidth="1"/>
    <col min="6" max="6" width="15.28515625" customWidth="1"/>
    <col min="7" max="8" width="12.5703125" customWidth="1"/>
    <col min="9" max="9" width="15.7109375" customWidth="1"/>
    <col min="10" max="10" width="14.7109375" customWidth="1"/>
    <col min="11" max="11" width="14.5703125" customWidth="1"/>
    <col min="12" max="12" width="11.28515625" customWidth="1"/>
    <col min="17" max="17" width="13" customWidth="1"/>
  </cols>
  <sheetData>
    <row r="1" spans="1:19" hidden="1" x14ac:dyDescent="0.25"/>
    <row r="2" spans="1:19" ht="21" x14ac:dyDescent="0.35">
      <c r="B2" s="771" t="s">
        <v>0</v>
      </c>
      <c r="C2" s="771"/>
      <c r="D2" s="771"/>
      <c r="E2" s="771"/>
      <c r="F2" s="771"/>
      <c r="G2" s="771"/>
      <c r="H2" s="771"/>
      <c r="I2" s="208"/>
    </row>
    <row r="3" spans="1:19" ht="18.75" x14ac:dyDescent="0.3">
      <c r="B3" s="772" t="s">
        <v>68</v>
      </c>
      <c r="C3" s="772"/>
      <c r="D3" s="772"/>
      <c r="E3" s="772"/>
      <c r="F3" s="772"/>
      <c r="G3" s="772"/>
      <c r="H3" s="772"/>
      <c r="I3" s="209"/>
    </row>
    <row r="4" spans="1:19" ht="15.75" thickBot="1" x14ac:dyDescent="0.3">
      <c r="B4" s="1"/>
      <c r="C4" s="51" t="s">
        <v>37</v>
      </c>
      <c r="D4" s="1"/>
      <c r="E4" s="1"/>
      <c r="F4" s="1"/>
      <c r="G4" s="2"/>
      <c r="J4" s="88"/>
    </row>
    <row r="5" spans="1:19" x14ac:dyDescent="0.25">
      <c r="B5" s="773" t="s">
        <v>1</v>
      </c>
      <c r="C5" s="774"/>
      <c r="D5" s="24" t="s">
        <v>2</v>
      </c>
      <c r="E5" s="24" t="s">
        <v>3</v>
      </c>
      <c r="F5" s="24" t="s">
        <v>58</v>
      </c>
      <c r="G5" s="24" t="s">
        <v>5</v>
      </c>
      <c r="H5" s="24" t="s">
        <v>6</v>
      </c>
      <c r="I5" s="50"/>
      <c r="J5" s="50"/>
    </row>
    <row r="6" spans="1:19" x14ac:dyDescent="0.25">
      <c r="B6" s="775" t="s">
        <v>7</v>
      </c>
      <c r="C6" s="776"/>
      <c r="D6" s="25">
        <f>SUM(D7:D16)</f>
        <v>113990.22</v>
      </c>
      <c r="E6" s="62">
        <f>SUM(E7:E16)</f>
        <v>3363.83</v>
      </c>
      <c r="F6" s="62">
        <f>SUM(F7:F16)</f>
        <v>-439.9200000000003</v>
      </c>
      <c r="G6" s="62">
        <f>SUM(G7:G16)</f>
        <v>117793.97000000002</v>
      </c>
      <c r="H6" s="63">
        <f>SUM(H7:H15)</f>
        <v>0</v>
      </c>
      <c r="I6" s="73"/>
      <c r="J6" s="73"/>
      <c r="K6" s="73"/>
      <c r="L6" s="23"/>
      <c r="Q6" s="23"/>
      <c r="S6" s="23"/>
    </row>
    <row r="7" spans="1:19" ht="15.75" customHeight="1" x14ac:dyDescent="0.25">
      <c r="B7" s="11"/>
      <c r="C7" s="22" t="s">
        <v>23</v>
      </c>
      <c r="D7" s="163">
        <f>'June 2020'!G7</f>
        <v>114516.94000000002</v>
      </c>
      <c r="E7" s="139">
        <v>113.59</v>
      </c>
      <c r="F7" s="139">
        <f>1679.8+1000+906.87-8475.51+164.87</f>
        <v>-4723.97</v>
      </c>
      <c r="G7" s="164">
        <f>D7+E7-F7</f>
        <v>119354.50000000001</v>
      </c>
      <c r="H7" s="165"/>
      <c r="I7" s="125"/>
      <c r="J7" s="23"/>
    </row>
    <row r="8" spans="1:19" x14ac:dyDescent="0.25">
      <c r="B8" s="12"/>
      <c r="C8" s="52" t="s">
        <v>62</v>
      </c>
      <c r="D8" s="163">
        <f>'June 2020'!G8</f>
        <v>-2166.56</v>
      </c>
      <c r="E8" s="166">
        <v>2166.56</v>
      </c>
      <c r="F8" s="154">
        <v>2098.35</v>
      </c>
      <c r="G8" s="108">
        <f t="shared" ref="G8:G16" si="0">D8+E8-F8</f>
        <v>-2098.35</v>
      </c>
      <c r="H8" s="165"/>
      <c r="I8" s="73"/>
      <c r="J8" s="149"/>
    </row>
    <row r="9" spans="1:19" hidden="1" x14ac:dyDescent="0.25">
      <c r="B9" s="12"/>
      <c r="C9" s="53" t="s">
        <v>67</v>
      </c>
      <c r="D9" s="163">
        <f>'June 2020'!G9</f>
        <v>0</v>
      </c>
      <c r="E9" s="166"/>
      <c r="F9" s="166"/>
      <c r="G9" s="164">
        <f t="shared" si="0"/>
        <v>0</v>
      </c>
      <c r="H9" s="165"/>
      <c r="I9" s="73"/>
      <c r="J9" s="71">
        <v>3231.47</v>
      </c>
      <c r="K9" s="23"/>
    </row>
    <row r="10" spans="1:19" x14ac:dyDescent="0.25">
      <c r="B10" s="12"/>
      <c r="C10" s="53" t="s">
        <v>41</v>
      </c>
      <c r="D10" s="163">
        <f>'June 2020'!G10</f>
        <v>-653.30000000000018</v>
      </c>
      <c r="E10" s="152"/>
      <c r="F10" s="152">
        <f>1440.22+36.43</f>
        <v>1476.65</v>
      </c>
      <c r="G10" s="108">
        <f t="shared" si="0"/>
        <v>-2129.9500000000003</v>
      </c>
      <c r="H10" s="165"/>
      <c r="I10" s="73"/>
      <c r="J10" s="93"/>
      <c r="K10" s="23"/>
    </row>
    <row r="11" spans="1:19" hidden="1" x14ac:dyDescent="0.25">
      <c r="B11" s="12"/>
      <c r="C11" s="53" t="s">
        <v>29</v>
      </c>
      <c r="D11" s="163">
        <f>'June 2020'!G11</f>
        <v>0</v>
      </c>
      <c r="E11" s="70"/>
      <c r="F11" s="70"/>
      <c r="G11" s="164">
        <f t="shared" si="0"/>
        <v>0</v>
      </c>
      <c r="H11" s="165"/>
      <c r="I11" s="73"/>
      <c r="J11" s="93"/>
    </row>
    <row r="12" spans="1:19" x14ac:dyDescent="0.25">
      <c r="B12" s="12"/>
      <c r="C12" s="53" t="s">
        <v>20</v>
      </c>
      <c r="D12" s="163">
        <f>'June 2020'!G12</f>
        <v>4414.79</v>
      </c>
      <c r="E12" s="152">
        <v>33.68</v>
      </c>
      <c r="F12" s="152"/>
      <c r="G12" s="181">
        <f t="shared" si="0"/>
        <v>4448.47</v>
      </c>
      <c r="H12" s="165"/>
      <c r="I12" s="73"/>
      <c r="J12" s="23"/>
    </row>
    <row r="13" spans="1:19" x14ac:dyDescent="0.25">
      <c r="B13" s="12"/>
      <c r="C13" s="53" t="s">
        <v>22</v>
      </c>
      <c r="D13" s="163">
        <f>'June 2020'!G13</f>
        <v>-10.030000000000086</v>
      </c>
      <c r="E13" s="152"/>
      <c r="F13" s="152"/>
      <c r="G13" s="181">
        <f t="shared" si="0"/>
        <v>-10.030000000000086</v>
      </c>
      <c r="H13" s="165"/>
      <c r="I13" s="73"/>
      <c r="J13" s="23"/>
    </row>
    <row r="14" spans="1:19" x14ac:dyDescent="0.25">
      <c r="B14" s="12"/>
      <c r="C14" s="53" t="s">
        <v>28</v>
      </c>
      <c r="D14" s="163">
        <f>'June 2020'!G14</f>
        <v>-1598.1800000000003</v>
      </c>
      <c r="E14" s="167"/>
      <c r="F14" s="152">
        <v>709.05</v>
      </c>
      <c r="G14" s="184">
        <f t="shared" si="0"/>
        <v>-2307.2300000000005</v>
      </c>
      <c r="H14" s="165"/>
      <c r="I14" s="73"/>
      <c r="J14" s="23"/>
    </row>
    <row r="15" spans="1:19" x14ac:dyDescent="0.25">
      <c r="A15" t="s">
        <v>26</v>
      </c>
      <c r="B15" s="12"/>
      <c r="C15" s="18" t="s">
        <v>42</v>
      </c>
      <c r="D15" s="163">
        <f>'June 2020'!G15</f>
        <v>-264.82</v>
      </c>
      <c r="E15" s="166">
        <v>1050</v>
      </c>
      <c r="F15" s="154"/>
      <c r="G15" s="153">
        <f t="shared" si="0"/>
        <v>785.18000000000006</v>
      </c>
      <c r="H15" s="165"/>
      <c r="I15" s="73"/>
      <c r="J15" s="23"/>
    </row>
    <row r="16" spans="1:19" x14ac:dyDescent="0.25">
      <c r="B16" s="12"/>
      <c r="C16" s="18" t="s">
        <v>43</v>
      </c>
      <c r="D16" s="163">
        <f>'June 2020'!G16</f>
        <v>-248.62000000000023</v>
      </c>
      <c r="E16" s="166"/>
      <c r="F16" s="154"/>
      <c r="G16" s="181">
        <f t="shared" si="0"/>
        <v>-248.62000000000023</v>
      </c>
      <c r="H16" s="165"/>
      <c r="I16" s="73"/>
      <c r="J16" s="73"/>
      <c r="Q16" s="23"/>
    </row>
    <row r="17" spans="2:17" x14ac:dyDescent="0.25">
      <c r="B17" s="777" t="s">
        <v>53</v>
      </c>
      <c r="C17" s="778"/>
      <c r="D17" s="141">
        <f>SUM(D18:D22)</f>
        <v>-39541.089999999997</v>
      </c>
      <c r="E17" s="168">
        <f>SUM(E18:E22)</f>
        <v>0</v>
      </c>
      <c r="F17" s="168">
        <f>SUM(F18:F22)</f>
        <v>5454.1</v>
      </c>
      <c r="G17" s="184">
        <f>SUM(G18:G22)</f>
        <v>-44995.19</v>
      </c>
      <c r="H17" s="169"/>
      <c r="I17" s="73"/>
      <c r="J17" s="73"/>
      <c r="Q17" s="23"/>
    </row>
    <row r="18" spans="2:17" x14ac:dyDescent="0.25">
      <c r="B18" s="13"/>
      <c r="C18" s="40" t="s">
        <v>9</v>
      </c>
      <c r="D18" s="140">
        <f>'June 2020'!G18</f>
        <v>-22759.64</v>
      </c>
      <c r="E18" s="150"/>
      <c r="F18" s="134"/>
      <c r="G18" s="137">
        <f>D18+E18-F18</f>
        <v>-22759.64</v>
      </c>
      <c r="H18" s="166"/>
      <c r="I18" s="73"/>
      <c r="J18" s="23"/>
      <c r="K18" s="4"/>
    </row>
    <row r="19" spans="2:17" x14ac:dyDescent="0.25">
      <c r="B19" s="12"/>
      <c r="C19" s="55" t="s">
        <v>8</v>
      </c>
      <c r="D19" s="140">
        <f>'June 2020'!G19</f>
        <v>-10420.56</v>
      </c>
      <c r="E19" s="152"/>
      <c r="F19" s="152">
        <f>3626.05+473.78</f>
        <v>4099.83</v>
      </c>
      <c r="G19" s="137">
        <f>D19+E19-F19</f>
        <v>-14520.39</v>
      </c>
      <c r="H19" s="170"/>
      <c r="I19" s="73"/>
      <c r="J19" s="23"/>
    </row>
    <row r="20" spans="2:17" x14ac:dyDescent="0.25">
      <c r="B20" s="12"/>
      <c r="C20" s="55" t="s">
        <v>32</v>
      </c>
      <c r="D20" s="140">
        <f>'June 2020'!G20</f>
        <v>-1944.0900000000001</v>
      </c>
      <c r="E20" s="167"/>
      <c r="F20" s="152">
        <v>174.3</v>
      </c>
      <c r="G20" s="137">
        <f t="shared" ref="G20:G22" si="1">D20+E20-F20</f>
        <v>-2118.3900000000003</v>
      </c>
      <c r="H20" s="171"/>
      <c r="I20" s="73"/>
      <c r="J20" s="23"/>
    </row>
    <row r="21" spans="2:17" x14ac:dyDescent="0.25">
      <c r="B21" s="12"/>
      <c r="C21" s="55" t="s">
        <v>67</v>
      </c>
      <c r="D21" s="140">
        <f>'June 2020'!G21</f>
        <v>-169.41</v>
      </c>
      <c r="E21" s="167"/>
      <c r="F21" s="152"/>
      <c r="G21" s="137">
        <f t="shared" si="1"/>
        <v>-169.41</v>
      </c>
      <c r="H21" s="171"/>
      <c r="I21" s="73"/>
      <c r="J21" s="23"/>
    </row>
    <row r="22" spans="2:17" x14ac:dyDescent="0.25">
      <c r="B22" s="10"/>
      <c r="C22" s="41" t="s">
        <v>38</v>
      </c>
      <c r="D22" s="140">
        <f>'June 2020'!G22</f>
        <v>-4247.3900000000003</v>
      </c>
      <c r="E22" s="151"/>
      <c r="F22" s="134">
        <f>1141.91+38.06</f>
        <v>1179.97</v>
      </c>
      <c r="G22" s="137">
        <f t="shared" si="1"/>
        <v>-5427.3600000000006</v>
      </c>
      <c r="H22" s="166"/>
      <c r="I22" s="73"/>
      <c r="J22" s="23"/>
      <c r="K22" s="4"/>
    </row>
    <row r="23" spans="2:17" x14ac:dyDescent="0.25">
      <c r="B23" s="775" t="s">
        <v>10</v>
      </c>
      <c r="C23" s="776"/>
      <c r="D23" s="141">
        <f>SUM(D24:D29)</f>
        <v>279725.69</v>
      </c>
      <c r="E23" s="172">
        <f>SUM(E24:E29)</f>
        <v>18710</v>
      </c>
      <c r="F23" s="172">
        <f>SUM(F24:F29)</f>
        <v>11756.55</v>
      </c>
      <c r="G23" s="111">
        <f>SUM(G24:G29)</f>
        <v>286679.13999999996</v>
      </c>
      <c r="H23" s="173">
        <f>SUM(H29:H33)</f>
        <v>0</v>
      </c>
      <c r="I23" s="73"/>
      <c r="J23" s="73"/>
      <c r="Q23" s="23"/>
    </row>
    <row r="24" spans="2:17" x14ac:dyDescent="0.25">
      <c r="B24" s="13"/>
      <c r="C24" s="37" t="s">
        <v>55</v>
      </c>
      <c r="D24" s="140">
        <f>'June 2020'!G24</f>
        <v>18710</v>
      </c>
      <c r="E24" s="150"/>
      <c r="F24" s="150">
        <v>3573.15</v>
      </c>
      <c r="G24" s="121">
        <f>D24+E24-F24</f>
        <v>15136.85</v>
      </c>
      <c r="H24" s="139"/>
      <c r="I24" s="73"/>
      <c r="J24" s="23"/>
      <c r="K24" s="5"/>
    </row>
    <row r="25" spans="2:17" x14ac:dyDescent="0.25">
      <c r="B25" s="10"/>
      <c r="C25" s="18" t="s">
        <v>70</v>
      </c>
      <c r="D25" s="140">
        <v>0</v>
      </c>
      <c r="E25" s="151">
        <v>18710</v>
      </c>
      <c r="F25" s="151"/>
      <c r="G25" s="121">
        <f>D25+E25-F25</f>
        <v>18710</v>
      </c>
      <c r="H25" s="166"/>
      <c r="I25" s="73"/>
      <c r="J25" s="23"/>
      <c r="K25" s="5"/>
    </row>
    <row r="26" spans="2:17" x14ac:dyDescent="0.25">
      <c r="B26" s="11"/>
      <c r="C26" s="19" t="s">
        <v>34</v>
      </c>
      <c r="D26" s="140">
        <f>'June 2020'!G25</f>
        <v>24029.020000000004</v>
      </c>
      <c r="E26" s="151"/>
      <c r="F26" s="182">
        <v>8183.4</v>
      </c>
      <c r="G26" s="121">
        <f t="shared" ref="G26:G29" si="2">D26+E26-F26</f>
        <v>15845.620000000004</v>
      </c>
      <c r="H26" s="166"/>
      <c r="I26" s="74"/>
      <c r="J26" s="23"/>
      <c r="K26" s="23"/>
    </row>
    <row r="27" spans="2:17" x14ac:dyDescent="0.25">
      <c r="B27" s="11"/>
      <c r="C27" s="19" t="s">
        <v>39</v>
      </c>
      <c r="D27" s="140">
        <f>'June 2020'!G26</f>
        <v>102500</v>
      </c>
      <c r="E27" s="151"/>
      <c r="F27" s="151"/>
      <c r="G27" s="121">
        <f t="shared" si="2"/>
        <v>102500</v>
      </c>
      <c r="H27" s="166"/>
      <c r="I27" s="74"/>
      <c r="J27" s="23"/>
      <c r="K27" s="23"/>
    </row>
    <row r="28" spans="2:17" x14ac:dyDescent="0.25">
      <c r="B28" s="11"/>
      <c r="C28" s="19" t="s">
        <v>65</v>
      </c>
      <c r="D28" s="140">
        <f>'June 2020'!G27</f>
        <v>134492</v>
      </c>
      <c r="E28" s="151"/>
      <c r="F28" s="151"/>
      <c r="G28" s="121">
        <f t="shared" si="2"/>
        <v>134492</v>
      </c>
      <c r="H28" s="166"/>
      <c r="I28" s="74"/>
      <c r="J28" s="23"/>
      <c r="K28" s="23"/>
    </row>
    <row r="29" spans="2:17" x14ac:dyDescent="0.25">
      <c r="B29" s="10"/>
      <c r="C29" s="18" t="s">
        <v>44</v>
      </c>
      <c r="D29" s="140">
        <f>'June 2020'!G28</f>
        <v>-5.3299999999999841</v>
      </c>
      <c r="E29" s="151"/>
      <c r="F29" s="134"/>
      <c r="G29" s="121">
        <f t="shared" si="2"/>
        <v>-5.3299999999999841</v>
      </c>
      <c r="H29" s="166"/>
      <c r="I29" s="73"/>
      <c r="J29" s="23"/>
      <c r="K29" s="5"/>
    </row>
    <row r="30" spans="2:17" x14ac:dyDescent="0.25">
      <c r="B30" s="775" t="s">
        <v>35</v>
      </c>
      <c r="C30" s="776"/>
      <c r="D30" s="141">
        <f>SUM(D31:D34)</f>
        <v>49858.69</v>
      </c>
      <c r="E30" s="172">
        <f>SUM(E31:E34)</f>
        <v>9607</v>
      </c>
      <c r="F30" s="172">
        <f>SUM(F31:F34)</f>
        <v>902.67000000000007</v>
      </c>
      <c r="G30" s="111">
        <f>SUM(G31:G34)</f>
        <v>58563.020000000004</v>
      </c>
      <c r="H30" s="173">
        <f t="shared" ref="H30" si="3">SUM(H31:H33)</f>
        <v>0</v>
      </c>
      <c r="I30" s="73"/>
      <c r="J30" s="73"/>
      <c r="Q30" s="23"/>
    </row>
    <row r="31" spans="2:17" x14ac:dyDescent="0.25">
      <c r="B31" s="10"/>
      <c r="C31" s="18" t="s">
        <v>69</v>
      </c>
      <c r="D31" s="140">
        <f>'June 2020'!G30</f>
        <v>26542.02</v>
      </c>
      <c r="E31" s="174">
        <v>9607</v>
      </c>
      <c r="F31" s="183">
        <v>592.72</v>
      </c>
      <c r="G31" s="119">
        <f t="shared" ref="G31:G34" si="4">D31+E31-F31</f>
        <v>35556.300000000003</v>
      </c>
      <c r="H31" s="166"/>
      <c r="I31" s="73"/>
      <c r="J31" s="23"/>
      <c r="K31" s="5"/>
    </row>
    <row r="32" spans="2:17" x14ac:dyDescent="0.25">
      <c r="B32" s="10"/>
      <c r="C32" s="20" t="s">
        <v>64</v>
      </c>
      <c r="D32" s="140">
        <f>'June 2020'!G31</f>
        <v>23316.67</v>
      </c>
      <c r="E32" s="174"/>
      <c r="F32" s="134">
        <v>309.95</v>
      </c>
      <c r="G32" s="119">
        <f t="shared" si="4"/>
        <v>23006.719999999998</v>
      </c>
      <c r="H32" s="166"/>
      <c r="I32" s="73"/>
      <c r="J32" s="93"/>
      <c r="K32" s="3"/>
      <c r="Q32" s="148"/>
    </row>
    <row r="33" spans="2:17" x14ac:dyDescent="0.25">
      <c r="B33" s="10"/>
      <c r="C33" s="21" t="s">
        <v>33</v>
      </c>
      <c r="D33" s="140">
        <f>'June 2020'!G32</f>
        <v>0</v>
      </c>
      <c r="E33" s="174"/>
      <c r="F33" s="151"/>
      <c r="G33" s="151">
        <f t="shared" si="4"/>
        <v>0</v>
      </c>
      <c r="H33" s="166"/>
      <c r="I33" s="73"/>
      <c r="J33" s="23"/>
      <c r="K33" s="4"/>
      <c r="Q33" s="149"/>
    </row>
    <row r="34" spans="2:17" ht="15.75" thickBot="1" x14ac:dyDescent="0.3">
      <c r="C34" s="104" t="s">
        <v>47</v>
      </c>
      <c r="D34" s="140">
        <f>'June 2020'!G33</f>
        <v>0</v>
      </c>
      <c r="E34" s="174"/>
      <c r="F34" s="151"/>
      <c r="G34" s="151">
        <f t="shared" si="4"/>
        <v>0</v>
      </c>
      <c r="H34" s="166"/>
      <c r="I34" s="73"/>
      <c r="J34" s="23"/>
      <c r="K34" s="4"/>
      <c r="Q34" s="149"/>
    </row>
    <row r="35" spans="2:17" ht="15.75" thickBot="1" x14ac:dyDescent="0.3">
      <c r="B35" s="779" t="s">
        <v>11</v>
      </c>
      <c r="C35" s="766"/>
      <c r="D35" s="38">
        <f>D6+D17+D23+D30</f>
        <v>404033.51</v>
      </c>
      <c r="E35" s="203">
        <f>SUM(E23,E17,E6,E30)</f>
        <v>31680.83</v>
      </c>
      <c r="F35" s="203">
        <f>SUM(F23,F17,F6,F30)</f>
        <v>17673.400000000001</v>
      </c>
      <c r="G35" s="44">
        <f>SUM(G23,G17,G6,G30)</f>
        <v>418040.94</v>
      </c>
      <c r="H35" s="78">
        <f>SUM(H6,H16,H23,H30)</f>
        <v>0</v>
      </c>
      <c r="I35" s="23"/>
      <c r="J35" s="23"/>
      <c r="K35" s="6"/>
    </row>
    <row r="36" spans="2:17" hidden="1" x14ac:dyDescent="0.25">
      <c r="B36" s="210"/>
      <c r="C36" s="205"/>
      <c r="D36" s="23">
        <f>SUM(D17:D22)</f>
        <v>-79082.179999999993</v>
      </c>
      <c r="E36" s="23"/>
      <c r="F36" s="23"/>
      <c r="G36" s="23"/>
      <c r="H36" s="49"/>
      <c r="I36" s="23"/>
      <c r="L36" t="s">
        <v>12</v>
      </c>
      <c r="M36">
        <v>42.43</v>
      </c>
    </row>
    <row r="37" spans="2:17" ht="15.75" hidden="1" thickBot="1" x14ac:dyDescent="0.3">
      <c r="B37" s="9" t="s">
        <v>25</v>
      </c>
      <c r="C37" s="15"/>
      <c r="D37" s="33" t="e">
        <f>SUM(D35,#REF!)</f>
        <v>#REF!</v>
      </c>
      <c r="E37" s="34" t="e">
        <f>SUM(E35,#REF!)</f>
        <v>#REF!</v>
      </c>
      <c r="F37" s="34" t="e">
        <f>SUM(F35,#REF!)</f>
        <v>#REF!</v>
      </c>
      <c r="G37" s="35" t="e">
        <f>SUM(G35,#REF!)</f>
        <v>#REF!</v>
      </c>
      <c r="H37" s="49"/>
      <c r="I37" s="23"/>
      <c r="J37" s="6"/>
      <c r="K37" s="4">
        <v>206730.35</v>
      </c>
    </row>
    <row r="38" spans="2:17" ht="15.75" thickBot="1" x14ac:dyDescent="0.3">
      <c r="C38" s="7"/>
      <c r="D38" s="23"/>
      <c r="E38" s="23"/>
      <c r="F38" s="23"/>
      <c r="G38" s="23"/>
      <c r="H38" s="49"/>
      <c r="I38" s="64"/>
      <c r="J38" s="6"/>
      <c r="K38" s="4"/>
      <c r="Q38" s="23"/>
    </row>
    <row r="39" spans="2:17" ht="15.75" thickBot="1" x14ac:dyDescent="0.3">
      <c r="B39" s="780" t="s">
        <v>13</v>
      </c>
      <c r="C39" s="781"/>
      <c r="D39" s="31" t="s">
        <v>2</v>
      </c>
      <c r="E39" s="31" t="s">
        <v>3</v>
      </c>
      <c r="F39" s="31" t="s">
        <v>24</v>
      </c>
      <c r="G39" s="31" t="s">
        <v>27</v>
      </c>
      <c r="H39" s="31" t="s">
        <v>5</v>
      </c>
      <c r="I39" s="50"/>
      <c r="J39" s="6"/>
      <c r="K39" s="8"/>
    </row>
    <row r="40" spans="2:17" ht="15.75" thickBot="1" x14ac:dyDescent="0.3">
      <c r="B40" s="769" t="s">
        <v>14</v>
      </c>
      <c r="C40" s="770"/>
      <c r="D40" s="161">
        <f>'June 2020'!H39</f>
        <v>70.640000000000015</v>
      </c>
      <c r="E40" s="162"/>
      <c r="F40" s="162"/>
      <c r="G40" s="162"/>
      <c r="H40" s="114">
        <f t="shared" ref="H40:H42" si="5">D40+E40+F40-G40</f>
        <v>70.640000000000015</v>
      </c>
      <c r="I40" s="23"/>
      <c r="K40" s="6"/>
      <c r="L40" s="4"/>
    </row>
    <row r="41" spans="2:17" ht="15.75" thickBot="1" x14ac:dyDescent="0.3">
      <c r="B41" s="782" t="s">
        <v>15</v>
      </c>
      <c r="C41" s="783"/>
      <c r="D41" s="161">
        <f>'June 2020'!H40</f>
        <v>8038.1600000000035</v>
      </c>
      <c r="E41" s="115"/>
      <c r="F41" s="115">
        <v>69000</v>
      </c>
      <c r="G41" s="115">
        <f>16946.7+7557.85</f>
        <v>24504.550000000003</v>
      </c>
      <c r="H41" s="155">
        <f>D41+E41+F41-G41</f>
        <v>52533.61</v>
      </c>
      <c r="I41" s="23"/>
      <c r="J41" s="65"/>
      <c r="K41" s="6"/>
    </row>
    <row r="42" spans="2:17" ht="15.75" thickBot="1" x14ac:dyDescent="0.3">
      <c r="B42" s="14"/>
      <c r="C42" s="16" t="s">
        <v>21</v>
      </c>
      <c r="D42" s="161">
        <f>'June 2020'!H41</f>
        <v>0</v>
      </c>
      <c r="E42" s="56"/>
      <c r="F42" s="56"/>
      <c r="G42" s="56"/>
      <c r="H42" s="156">
        <f t="shared" si="5"/>
        <v>0</v>
      </c>
      <c r="I42" s="23"/>
      <c r="J42" s="65"/>
      <c r="K42" s="4"/>
    </row>
    <row r="43" spans="2:17" ht="15.75" thickBot="1" x14ac:dyDescent="0.3">
      <c r="B43" s="14"/>
      <c r="C43" s="16" t="s">
        <v>40</v>
      </c>
      <c r="D43" s="161">
        <f>'June 2020'!H42</f>
        <v>-12080.26</v>
      </c>
      <c r="E43" s="160">
        <v>11852.89</v>
      </c>
      <c r="F43" s="56"/>
      <c r="G43" s="160">
        <v>2332.91</v>
      </c>
      <c r="H43" s="157">
        <f>D43+E43+F43-G43</f>
        <v>-2560.2800000000007</v>
      </c>
      <c r="I43" s="23"/>
      <c r="J43" s="4"/>
      <c r="K43" s="4"/>
    </row>
    <row r="44" spans="2:17" ht="15.75" thickBot="1" x14ac:dyDescent="0.3">
      <c r="B44" s="769" t="s">
        <v>16</v>
      </c>
      <c r="C44" s="770"/>
      <c r="D44" s="161">
        <f>'June 2020'!H43</f>
        <v>226749.26000000007</v>
      </c>
      <c r="E44" s="61">
        <f>29430.26+1007.72</f>
        <v>30437.98</v>
      </c>
      <c r="F44" s="61"/>
      <c r="G44" s="61">
        <v>69000</v>
      </c>
      <c r="H44" s="158">
        <f>D44+E44-F44-G44</f>
        <v>188187.24000000008</v>
      </c>
      <c r="I44" s="23"/>
      <c r="J44" s="4"/>
      <c r="K44" s="4"/>
    </row>
    <row r="45" spans="2:17" ht="15.75" thickBot="1" x14ac:dyDescent="0.3">
      <c r="B45" s="80" t="s">
        <v>46</v>
      </c>
      <c r="C45" s="81"/>
      <c r="D45" s="161">
        <f>'June 2020'!H44</f>
        <v>180036.91999999998</v>
      </c>
      <c r="E45" s="28">
        <v>50.33</v>
      </c>
      <c r="F45" s="28"/>
      <c r="G45" s="28">
        <v>1000</v>
      </c>
      <c r="H45" s="159">
        <f>D45+E45+F45-G45</f>
        <v>179087.24999999997</v>
      </c>
      <c r="I45" s="23"/>
      <c r="J45" s="4"/>
      <c r="K45" s="4"/>
    </row>
    <row r="46" spans="2:17" ht="15.75" thickBot="1" x14ac:dyDescent="0.3">
      <c r="B46" s="765"/>
      <c r="C46" s="766"/>
      <c r="D46" s="29">
        <f>SUM(D40+D41+D44+D45+D43)</f>
        <v>402814.72000000009</v>
      </c>
      <c r="E46" s="204">
        <f>SUM(E40:E45)</f>
        <v>42341.2</v>
      </c>
      <c r="F46" s="30">
        <f>SUM(F41:F45)</f>
        <v>69000</v>
      </c>
      <c r="G46" s="204">
        <f>SUM(G40:G45)</f>
        <v>96837.46</v>
      </c>
      <c r="H46" s="45">
        <f>SUM(H40+H41+H44+H42+H45+H43)</f>
        <v>417318.46</v>
      </c>
      <c r="I46" s="23"/>
      <c r="J46" s="6"/>
      <c r="K46" s="4"/>
      <c r="L46" s="3"/>
    </row>
    <row r="47" spans="2:17" x14ac:dyDescent="0.25">
      <c r="B47" s="210"/>
      <c r="C47" s="205"/>
      <c r="D47" s="23">
        <f>D35-D46</f>
        <v>1218.7899999999208</v>
      </c>
      <c r="E47" s="23"/>
      <c r="F47" s="23"/>
      <c r="G47" s="23"/>
      <c r="H47" s="23">
        <f>G35-H46</f>
        <v>722.47999999998137</v>
      </c>
      <c r="I47" s="23"/>
      <c r="J47" s="6"/>
      <c r="K47" s="6"/>
      <c r="L47" s="3"/>
    </row>
    <row r="48" spans="2:17" x14ac:dyDescent="0.25">
      <c r="C48" s="7"/>
      <c r="D48" s="23"/>
      <c r="E48" s="23"/>
      <c r="F48" s="23"/>
      <c r="G48" s="23"/>
      <c r="H48" s="23"/>
      <c r="I48" s="23"/>
      <c r="J48" s="6"/>
    </row>
    <row r="49" spans="2:17" ht="15.75" x14ac:dyDescent="0.25">
      <c r="B49" s="767" t="s">
        <v>17</v>
      </c>
      <c r="C49" s="767"/>
      <c r="D49" s="767"/>
      <c r="E49" s="767"/>
      <c r="F49" s="768" t="s">
        <v>18</v>
      </c>
      <c r="G49" s="768"/>
      <c r="H49" s="23"/>
      <c r="I49" s="23"/>
      <c r="K49" s="6"/>
    </row>
    <row r="50" spans="2:17" ht="15.75" x14ac:dyDescent="0.25">
      <c r="B50" s="206"/>
      <c r="C50" s="206"/>
      <c r="D50" s="207"/>
      <c r="E50" s="207"/>
      <c r="F50" s="207"/>
      <c r="G50" s="207"/>
      <c r="H50" s="23"/>
      <c r="I50" s="23"/>
    </row>
    <row r="51" spans="2:17" ht="15.75" x14ac:dyDescent="0.25">
      <c r="B51" s="767" t="s">
        <v>19</v>
      </c>
      <c r="C51" s="767"/>
      <c r="D51" s="767"/>
      <c r="E51" s="767"/>
      <c r="F51" s="768" t="s">
        <v>18</v>
      </c>
      <c r="G51" s="768"/>
      <c r="H51" s="23"/>
      <c r="I51" s="23"/>
    </row>
    <row r="52" spans="2:17" x14ac:dyDescent="0.25">
      <c r="B52" s="210"/>
      <c r="C52" s="205"/>
      <c r="D52" s="3"/>
      <c r="E52" s="3"/>
      <c r="F52" s="3"/>
      <c r="G52" s="4"/>
      <c r="H52" s="3"/>
      <c r="I52" s="3"/>
      <c r="J52" s="6"/>
      <c r="K52" s="4"/>
      <c r="Q52" s="17"/>
    </row>
    <row r="53" spans="2:17" x14ac:dyDescent="0.25">
      <c r="C53" s="7"/>
      <c r="D53" s="6"/>
      <c r="E53" s="6"/>
      <c r="F53" s="6"/>
      <c r="G53" s="6"/>
      <c r="J53" s="6"/>
      <c r="K53" s="8"/>
      <c r="M53" s="3"/>
      <c r="Q53" s="17"/>
    </row>
    <row r="54" spans="2:17" x14ac:dyDescent="0.25">
      <c r="C54" s="7"/>
      <c r="D54" s="4"/>
      <c r="E54" s="6"/>
      <c r="G54" s="6"/>
      <c r="K54" s="6"/>
    </row>
  </sheetData>
  <mergeCells count="17">
    <mergeCell ref="B44:C44"/>
    <mergeCell ref="B2:H2"/>
    <mergeCell ref="B3:H3"/>
    <mergeCell ref="B5:C5"/>
    <mergeCell ref="B6:C6"/>
    <mergeCell ref="B17:C17"/>
    <mergeCell ref="B23:C23"/>
    <mergeCell ref="B30:C30"/>
    <mergeCell ref="B35:C35"/>
    <mergeCell ref="B39:C39"/>
    <mergeCell ref="B40:C40"/>
    <mergeCell ref="B41:C41"/>
    <mergeCell ref="B46:C46"/>
    <mergeCell ref="B49:E49"/>
    <mergeCell ref="F49:G49"/>
    <mergeCell ref="B51:E51"/>
    <mergeCell ref="F51:G51"/>
  </mergeCells>
  <pageMargins left="0.7" right="0.7" top="0.75" bottom="0.75" header="0.3" footer="0.3"/>
  <pageSetup scale="8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58</vt:i4>
      </vt:variant>
      <vt:variant>
        <vt:lpstr>Named Ranges</vt:lpstr>
      </vt:variant>
      <vt:variant>
        <vt:i4>2</vt:i4>
      </vt:variant>
    </vt:vector>
  </HeadingPairs>
  <TitlesOfParts>
    <vt:vector size="60" baseType="lpstr">
      <vt:lpstr>May 2020 (2)</vt:lpstr>
      <vt:lpstr>December 2019</vt:lpstr>
      <vt:lpstr>January 2020</vt:lpstr>
      <vt:lpstr>February 2020</vt:lpstr>
      <vt:lpstr>March 2020</vt:lpstr>
      <vt:lpstr>April 2020</vt:lpstr>
      <vt:lpstr>May 2020</vt:lpstr>
      <vt:lpstr>June 2020</vt:lpstr>
      <vt:lpstr>July 2020</vt:lpstr>
      <vt:lpstr>August 2020</vt:lpstr>
      <vt:lpstr>September 2020</vt:lpstr>
      <vt:lpstr>October 2020</vt:lpstr>
      <vt:lpstr>November 2020</vt:lpstr>
      <vt:lpstr>December 2020</vt:lpstr>
      <vt:lpstr>January 2021</vt:lpstr>
      <vt:lpstr>February 2021</vt:lpstr>
      <vt:lpstr>March 2021</vt:lpstr>
      <vt:lpstr>April 2021</vt:lpstr>
      <vt:lpstr>May 2021</vt:lpstr>
      <vt:lpstr>June 2021</vt:lpstr>
      <vt:lpstr>July 2021</vt:lpstr>
      <vt:lpstr>August 2021</vt:lpstr>
      <vt:lpstr>September 2021</vt:lpstr>
      <vt:lpstr>October 2021</vt:lpstr>
      <vt:lpstr>November 2021</vt:lpstr>
      <vt:lpstr>December 2021</vt:lpstr>
      <vt:lpstr>January 2022</vt:lpstr>
      <vt:lpstr>February 2022</vt:lpstr>
      <vt:lpstr>March 2022</vt:lpstr>
      <vt:lpstr>April 2022</vt:lpstr>
      <vt:lpstr>May 2022</vt:lpstr>
      <vt:lpstr>June 2022</vt:lpstr>
      <vt:lpstr>July 2022</vt:lpstr>
      <vt:lpstr>August 2022</vt:lpstr>
      <vt:lpstr>September 2022</vt:lpstr>
      <vt:lpstr>October 2022</vt:lpstr>
      <vt:lpstr>November 2022</vt:lpstr>
      <vt:lpstr>December 2022</vt:lpstr>
      <vt:lpstr>January 2023</vt:lpstr>
      <vt:lpstr>February 2023</vt:lpstr>
      <vt:lpstr>March 2023</vt:lpstr>
      <vt:lpstr>April 2023</vt:lpstr>
      <vt:lpstr>May 2023</vt:lpstr>
      <vt:lpstr>June 2023</vt:lpstr>
      <vt:lpstr>July 2023</vt:lpstr>
      <vt:lpstr>August 2023</vt:lpstr>
      <vt:lpstr>September 2023</vt:lpstr>
      <vt:lpstr>October 2023</vt:lpstr>
      <vt:lpstr>November 2023</vt:lpstr>
      <vt:lpstr>December 2023</vt:lpstr>
      <vt:lpstr>January 2024</vt:lpstr>
      <vt:lpstr>February 2024</vt:lpstr>
      <vt:lpstr>March 2024</vt:lpstr>
      <vt:lpstr>April 2024</vt:lpstr>
      <vt:lpstr>May 2024</vt:lpstr>
      <vt:lpstr>June 2024</vt:lpstr>
      <vt:lpstr>July 2024</vt:lpstr>
      <vt:lpstr>August 2024</vt:lpstr>
      <vt:lpstr>'December 2019'!Print_Area</vt:lpstr>
      <vt:lpstr>'January 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Jerah Mattson</dc:creator>
  <cp:lastModifiedBy>jerah</cp:lastModifiedBy>
  <cp:lastPrinted>2024-09-11T18:54:56Z</cp:lastPrinted>
  <dcterms:created xsi:type="dcterms:W3CDTF">2017-02-07T17:01:47Z</dcterms:created>
  <dcterms:modified xsi:type="dcterms:W3CDTF">2024-09-11T18:55:23Z</dcterms:modified>
</cp:coreProperties>
</file>